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2202"/>
  <workbookPr autoCompressPictures="0"/>
  <bookViews>
    <workbookView xWindow="-40" yWindow="0" windowWidth="50860" windowHeight="28360"/>
  </bookViews>
  <sheets>
    <sheet name="Input Values" sheetId="4" r:id="rId1"/>
    <sheet name="Dosing Recommendations" sheetId="5" r:id="rId2"/>
    <sheet name="ICP Value Comparison" sheetId="2"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 r="C12" i="2"/>
  <c r="C14" i="2"/>
  <c r="C16" i="2"/>
  <c r="C18" i="2"/>
  <c r="C20" i="2"/>
  <c r="C22" i="2"/>
  <c r="C24" i="2"/>
  <c r="C26" i="2"/>
  <c r="C28" i="2"/>
  <c r="C30" i="2"/>
  <c r="C32" i="2"/>
  <c r="C34" i="2"/>
  <c r="C36" i="2"/>
  <c r="C38" i="2"/>
  <c r="C40" i="2"/>
  <c r="C42" i="2"/>
  <c r="C44" i="2"/>
  <c r="C46" i="2"/>
  <c r="C48" i="2"/>
  <c r="C50" i="2"/>
  <c r="C52" i="2"/>
  <c r="C54" i="2"/>
  <c r="C56" i="2"/>
  <c r="C58" i="2"/>
  <c r="C60" i="2"/>
  <c r="C62" i="2"/>
  <c r="C64" i="2"/>
  <c r="C66" i="2"/>
  <c r="C68" i="2"/>
  <c r="C70" i="2"/>
  <c r="C72" i="2"/>
  <c r="C74" i="2"/>
  <c r="C76" i="2"/>
  <c r="C78" i="2"/>
  <c r="C80" i="2"/>
  <c r="C82" i="2"/>
  <c r="C85" i="2"/>
  <c r="G9" i="2"/>
  <c r="F85" i="2"/>
  <c r="G30" i="2"/>
  <c r="H30" i="2"/>
  <c r="F47" i="4"/>
  <c r="D24" i="5"/>
  <c r="B5" i="2"/>
  <c r="N30" i="2"/>
  <c r="L24" i="5"/>
  <c r="G54" i="2"/>
  <c r="H54" i="2"/>
  <c r="F59" i="4"/>
  <c r="D36" i="5"/>
  <c r="N54" i="2"/>
  <c r="L36" i="5"/>
  <c r="G40" i="2"/>
  <c r="H40" i="2"/>
  <c r="F52" i="4"/>
  <c r="D32" i="5"/>
  <c r="N40" i="2"/>
  <c r="L32" i="5"/>
  <c r="G80" i="2"/>
  <c r="H80" i="2"/>
  <c r="N80" i="2"/>
  <c r="L54" i="5"/>
  <c r="M54" i="5"/>
  <c r="J54" i="5"/>
  <c r="G54" i="5"/>
  <c r="I54" i="5"/>
  <c r="F72" i="4"/>
  <c r="D54" i="5"/>
  <c r="C82" i="5"/>
  <c r="C54" i="5"/>
  <c r="B82" i="5"/>
  <c r="G78" i="2"/>
  <c r="H78" i="2"/>
  <c r="F71" i="4"/>
  <c r="D52" i="5"/>
  <c r="C81" i="5"/>
  <c r="C52" i="5"/>
  <c r="B81" i="5"/>
  <c r="G68" i="2"/>
  <c r="H68" i="2"/>
  <c r="F66" i="4"/>
  <c r="D46" i="5"/>
  <c r="C80" i="5"/>
  <c r="C46" i="5"/>
  <c r="B80" i="5"/>
  <c r="G60" i="2"/>
  <c r="H60" i="2"/>
  <c r="F62" i="4"/>
  <c r="D40" i="5"/>
  <c r="C79" i="5"/>
  <c r="C40" i="5"/>
  <c r="B79" i="5"/>
  <c r="G56" i="2"/>
  <c r="H56" i="2"/>
  <c r="F60" i="4"/>
  <c r="D38" i="5"/>
  <c r="C78" i="5"/>
  <c r="C38" i="5"/>
  <c r="B78" i="5"/>
  <c r="C77" i="5"/>
  <c r="C36" i="5"/>
  <c r="B77" i="5"/>
  <c r="C76" i="5"/>
  <c r="C32" i="5"/>
  <c r="B76" i="5"/>
  <c r="G36" i="2"/>
  <c r="H36" i="2"/>
  <c r="F50" i="4"/>
  <c r="D26" i="5"/>
  <c r="C75" i="5"/>
  <c r="C26" i="5"/>
  <c r="B75" i="5"/>
  <c r="C74" i="5"/>
  <c r="C24" i="5"/>
  <c r="B74" i="5"/>
  <c r="G72" i="2"/>
  <c r="H72" i="2"/>
  <c r="F68" i="4"/>
  <c r="D50" i="5"/>
  <c r="G70" i="2"/>
  <c r="H70" i="2"/>
  <c r="F67" i="4"/>
  <c r="D48" i="5"/>
  <c r="G64" i="2"/>
  <c r="H64" i="2"/>
  <c r="F64" i="4"/>
  <c r="D44" i="5"/>
  <c r="G48" i="2"/>
  <c r="H48" i="2"/>
  <c r="F56" i="4"/>
  <c r="D42" i="5"/>
  <c r="G52" i="2"/>
  <c r="H52" i="2"/>
  <c r="F58" i="4"/>
  <c r="D34" i="5"/>
  <c r="G44" i="2"/>
  <c r="H44" i="2"/>
  <c r="F54" i="4"/>
  <c r="D30" i="5"/>
  <c r="G38" i="2"/>
  <c r="H38" i="2"/>
  <c r="F51" i="4"/>
  <c r="D28" i="5"/>
  <c r="G32" i="2"/>
  <c r="H32" i="2"/>
  <c r="F48" i="4"/>
  <c r="D22" i="5"/>
  <c r="G24" i="2"/>
  <c r="H24" i="2"/>
  <c r="F44" i="4"/>
  <c r="D20" i="5"/>
  <c r="G22" i="2"/>
  <c r="H22" i="2"/>
  <c r="F43" i="4"/>
  <c r="D18" i="5"/>
  <c r="C50" i="5"/>
  <c r="C48" i="5"/>
  <c r="C44" i="5"/>
  <c r="C42" i="5"/>
  <c r="C34" i="5"/>
  <c r="C30" i="5"/>
  <c r="C28" i="5"/>
  <c r="C22" i="5"/>
  <c r="C20" i="5"/>
  <c r="C18" i="5"/>
  <c r="G14" i="2"/>
  <c r="H14" i="2"/>
  <c r="F39" i="4"/>
  <c r="C16" i="5"/>
  <c r="D16" i="5"/>
  <c r="N14" i="2"/>
  <c r="L16" i="5"/>
  <c r="N78" i="2"/>
  <c r="N72" i="2"/>
  <c r="N70" i="2"/>
  <c r="N68" i="2"/>
  <c r="N64" i="2"/>
  <c r="N60" i="2"/>
  <c r="N56" i="2"/>
  <c r="N52" i="2"/>
  <c r="N48" i="2"/>
  <c r="N44" i="2"/>
  <c r="N22" i="2"/>
  <c r="N24" i="2"/>
  <c r="N32" i="2"/>
  <c r="N36" i="2"/>
  <c r="N38" i="2"/>
  <c r="T30" i="5"/>
  <c r="L52" i="5"/>
  <c r="M52" i="5"/>
  <c r="J52" i="5"/>
  <c r="S14" i="5"/>
  <c r="T29" i="5"/>
  <c r="L46" i="5"/>
  <c r="M46" i="5"/>
  <c r="J46" i="5"/>
  <c r="T28" i="5"/>
  <c r="L44" i="5"/>
  <c r="M44" i="5"/>
  <c r="J44" i="5"/>
  <c r="T27" i="5"/>
  <c r="L40" i="5"/>
  <c r="M40" i="5"/>
  <c r="J40" i="5"/>
  <c r="T26" i="5"/>
  <c r="L38" i="5"/>
  <c r="M38" i="5"/>
  <c r="J38" i="5"/>
  <c r="T25" i="5"/>
  <c r="M36" i="5"/>
  <c r="J36" i="5"/>
  <c r="T24" i="5"/>
  <c r="M32" i="5"/>
  <c r="J32" i="5"/>
  <c r="T23" i="5"/>
  <c r="L30" i="5"/>
  <c r="M30" i="5"/>
  <c r="J30" i="5"/>
  <c r="T22" i="5"/>
  <c r="L26" i="5"/>
  <c r="M26" i="5"/>
  <c r="J26" i="5"/>
  <c r="T21" i="5"/>
  <c r="S30" i="5"/>
  <c r="S29" i="5"/>
  <c r="S28" i="5"/>
  <c r="S27" i="5"/>
  <c r="S26" i="5"/>
  <c r="S25" i="5"/>
  <c r="S24" i="5"/>
  <c r="S23" i="5"/>
  <c r="S22" i="5"/>
  <c r="S21" i="5"/>
  <c r="M24" i="5"/>
  <c r="J24" i="5"/>
  <c r="S20" i="5"/>
  <c r="L22" i="5"/>
  <c r="M22" i="5"/>
  <c r="J22" i="5"/>
  <c r="S19" i="5"/>
  <c r="T19" i="5"/>
  <c r="T20" i="5"/>
  <c r="O14" i="2"/>
  <c r="O22" i="2"/>
  <c r="O24" i="2"/>
  <c r="O30" i="2"/>
  <c r="O32" i="2"/>
  <c r="O36" i="2"/>
  <c r="O38" i="2"/>
  <c r="O40" i="2"/>
  <c r="O44" i="2"/>
  <c r="O48" i="2"/>
  <c r="O52" i="2"/>
  <c r="O54" i="2"/>
  <c r="O56" i="2"/>
  <c r="O60" i="2"/>
  <c r="O64" i="2"/>
  <c r="O68" i="2"/>
  <c r="O70" i="2"/>
  <c r="O72" i="2"/>
  <c r="O78" i="2"/>
  <c r="K54" i="5"/>
  <c r="K52" i="5"/>
  <c r="K50" i="5"/>
  <c r="K48" i="5"/>
  <c r="K46" i="5"/>
  <c r="K44" i="5"/>
  <c r="K42" i="5"/>
  <c r="K40" i="5"/>
  <c r="K38" i="5"/>
  <c r="K36" i="5"/>
  <c r="K34" i="5"/>
  <c r="K32" i="5"/>
  <c r="K30" i="5"/>
  <c r="K28" i="5"/>
  <c r="K26" i="5"/>
  <c r="K24" i="5"/>
  <c r="K22" i="5"/>
  <c r="K20" i="5"/>
  <c r="K18" i="5"/>
  <c r="K16" i="5"/>
  <c r="G52" i="5"/>
  <c r="G48" i="5"/>
  <c r="G46" i="5"/>
  <c r="G44" i="5"/>
  <c r="G40" i="5"/>
  <c r="G38" i="5"/>
  <c r="G36" i="5"/>
  <c r="G32" i="5"/>
  <c r="G30" i="5"/>
  <c r="G28" i="5"/>
  <c r="G26" i="5"/>
  <c r="G24" i="5"/>
  <c r="G22" i="5"/>
  <c r="H50" i="5"/>
  <c r="H42" i="5"/>
  <c r="H34" i="5"/>
  <c r="H20" i="5"/>
  <c r="H18" i="5"/>
  <c r="H16" i="5"/>
  <c r="I16" i="5"/>
  <c r="M16" i="5"/>
  <c r="J16" i="5"/>
  <c r="I52" i="5"/>
  <c r="L50" i="5"/>
  <c r="M50" i="5"/>
  <c r="J50" i="5"/>
  <c r="I50" i="5"/>
  <c r="L48" i="5"/>
  <c r="M48" i="5"/>
  <c r="J48" i="5"/>
  <c r="I48" i="5"/>
  <c r="I46" i="5"/>
  <c r="I44" i="5"/>
  <c r="L42" i="5"/>
  <c r="M42" i="5"/>
  <c r="J42" i="5"/>
  <c r="I42" i="5"/>
  <c r="I40" i="5"/>
  <c r="I38" i="5"/>
  <c r="I36" i="5"/>
  <c r="L34" i="5"/>
  <c r="M34" i="5"/>
  <c r="J34" i="5"/>
  <c r="I34" i="5"/>
  <c r="I32" i="5"/>
  <c r="I30" i="5"/>
  <c r="L28" i="5"/>
  <c r="M28" i="5"/>
  <c r="J28" i="5"/>
  <c r="I28" i="5"/>
  <c r="I26" i="5"/>
  <c r="I24" i="5"/>
  <c r="I22" i="5"/>
  <c r="L20" i="5"/>
  <c r="M20" i="5"/>
  <c r="J20" i="5"/>
  <c r="I20" i="5"/>
  <c r="L18" i="5"/>
  <c r="M18" i="5"/>
  <c r="J18" i="5"/>
  <c r="I18" i="5"/>
  <c r="X30" i="2"/>
  <c r="X36" i="2"/>
  <c r="X44" i="2"/>
  <c r="X40" i="2"/>
  <c r="X54" i="2"/>
  <c r="X56" i="2"/>
  <c r="X60" i="2"/>
  <c r="X68" i="2"/>
  <c r="X78" i="2"/>
  <c r="X80" i="2"/>
  <c r="L36" i="2"/>
  <c r="K36" i="2"/>
  <c r="L24" i="2"/>
  <c r="K24" i="2"/>
  <c r="L68" i="2"/>
  <c r="K68" i="2"/>
  <c r="L70" i="2"/>
  <c r="K70" i="2"/>
  <c r="L64" i="2"/>
  <c r="K64" i="2"/>
  <c r="L56" i="2"/>
  <c r="K56" i="2"/>
  <c r="L40" i="2"/>
  <c r="K40" i="2"/>
  <c r="L38" i="2"/>
  <c r="K38" i="2"/>
  <c r="L30" i="2"/>
  <c r="K30" i="2"/>
  <c r="L32" i="2"/>
  <c r="K32" i="2"/>
  <c r="L54" i="2"/>
  <c r="K54" i="2"/>
  <c r="L60" i="2"/>
  <c r="K60" i="2"/>
  <c r="L80" i="2"/>
  <c r="K80" i="2"/>
  <c r="L78" i="2"/>
  <c r="K78" i="2"/>
  <c r="L72" i="2"/>
  <c r="K72" i="2"/>
  <c r="L52" i="2"/>
  <c r="K52" i="2"/>
  <c r="L48" i="2"/>
  <c r="K48" i="2"/>
  <c r="L44" i="2"/>
  <c r="K44" i="2"/>
  <c r="L22" i="2"/>
  <c r="K22" i="2"/>
  <c r="L14" i="2"/>
  <c r="K14" i="2"/>
  <c r="E72" i="4"/>
  <c r="E71" i="4"/>
  <c r="G76" i="2"/>
  <c r="E70" i="4"/>
  <c r="G74" i="2"/>
  <c r="E69" i="4"/>
  <c r="E68" i="4"/>
  <c r="E67" i="4"/>
  <c r="E66" i="4"/>
  <c r="G66" i="2"/>
  <c r="E65" i="4"/>
  <c r="E64" i="4"/>
  <c r="G62" i="2"/>
  <c r="E63" i="4"/>
  <c r="E62" i="4"/>
  <c r="G58" i="2"/>
  <c r="E61" i="4"/>
  <c r="E60" i="4"/>
  <c r="E59" i="4"/>
  <c r="E58" i="4"/>
  <c r="G50" i="2"/>
  <c r="E57" i="4"/>
  <c r="E56" i="4"/>
  <c r="G46" i="2"/>
  <c r="E55" i="4"/>
  <c r="E54" i="4"/>
  <c r="G42" i="2"/>
  <c r="E53" i="4"/>
  <c r="E52" i="4"/>
  <c r="E51" i="4"/>
  <c r="E50" i="4"/>
  <c r="G34" i="2"/>
  <c r="E49" i="4"/>
  <c r="E48" i="4"/>
  <c r="E47" i="4"/>
  <c r="G28" i="2"/>
  <c r="E46" i="4"/>
  <c r="G26" i="2"/>
  <c r="E45" i="4"/>
  <c r="E44" i="4"/>
  <c r="E43" i="4"/>
  <c r="G20" i="2"/>
  <c r="E42" i="4"/>
  <c r="G18" i="2"/>
  <c r="E41" i="4"/>
  <c r="G16" i="2"/>
  <c r="E40" i="4"/>
  <c r="E39" i="4"/>
  <c r="G12" i="2"/>
  <c r="E38" i="4"/>
  <c r="G10" i="2"/>
  <c r="E37" i="4"/>
  <c r="Y80" i="2"/>
  <c r="Y78" i="2"/>
  <c r="Y68" i="2"/>
  <c r="Y60" i="2"/>
  <c r="Y56" i="2"/>
  <c r="Y54" i="2"/>
  <c r="Y40" i="2"/>
  <c r="Y44" i="2"/>
  <c r="Y36" i="2"/>
  <c r="Y30" i="2"/>
  <c r="G82" i="2"/>
  <c r="G85" i="2"/>
  <c r="E35" i="4"/>
  <c r="H76" i="2"/>
  <c r="F70" i="4"/>
  <c r="H74" i="2"/>
  <c r="F69" i="4"/>
  <c r="H66" i="2"/>
  <c r="F65" i="4"/>
  <c r="H62" i="2"/>
  <c r="F63" i="4"/>
  <c r="H58" i="2"/>
  <c r="F61" i="4"/>
  <c r="H50" i="2"/>
  <c r="F57" i="4"/>
  <c r="H46" i="2"/>
  <c r="F55" i="4"/>
  <c r="H42" i="2"/>
  <c r="F53" i="4"/>
  <c r="H34" i="2"/>
  <c r="F49" i="4"/>
  <c r="H28" i="2"/>
  <c r="F46" i="4"/>
  <c r="H26" i="2"/>
  <c r="F45" i="4"/>
  <c r="H20" i="2"/>
  <c r="F42" i="4"/>
  <c r="H18" i="2"/>
  <c r="F41" i="4"/>
  <c r="H16" i="2"/>
  <c r="F40" i="4"/>
  <c r="H12" i="2"/>
  <c r="F38" i="4"/>
  <c r="H10" i="2"/>
  <c r="F37" i="4"/>
  <c r="S31" i="5"/>
  <c r="S38" i="5"/>
  <c r="O80" i="2"/>
  <c r="R30" i="5"/>
  <c r="R29" i="5"/>
  <c r="R28" i="5"/>
  <c r="R26" i="5"/>
  <c r="R22" i="5"/>
  <c r="R25" i="5"/>
  <c r="R24" i="5"/>
  <c r="R23" i="5"/>
  <c r="R21" i="5"/>
  <c r="R20" i="5"/>
  <c r="R19" i="5"/>
  <c r="S16" i="5"/>
  <c r="V80" i="2"/>
  <c r="U80" i="2"/>
  <c r="V78" i="2"/>
  <c r="U78" i="2"/>
  <c r="V68" i="2"/>
  <c r="U68" i="2"/>
  <c r="V60" i="2"/>
  <c r="U60" i="2"/>
  <c r="V56" i="2"/>
  <c r="U56" i="2"/>
  <c r="V54" i="2"/>
  <c r="U54" i="2"/>
  <c r="V44" i="2"/>
  <c r="U44" i="2"/>
  <c r="V40" i="2"/>
  <c r="U40" i="2"/>
  <c r="V36" i="2"/>
  <c r="U36" i="2"/>
  <c r="V30" i="2"/>
  <c r="U30" i="2"/>
  <c r="I80" i="2"/>
  <c r="I78" i="2"/>
  <c r="I76" i="2"/>
  <c r="I74" i="2"/>
  <c r="I72" i="2"/>
  <c r="I70" i="2"/>
  <c r="I68" i="2"/>
  <c r="I66" i="2"/>
  <c r="I64" i="2"/>
  <c r="I62" i="2"/>
  <c r="I60" i="2"/>
  <c r="I58" i="2"/>
  <c r="I56" i="2"/>
  <c r="I54" i="2"/>
  <c r="I52" i="2"/>
  <c r="I50" i="2"/>
  <c r="I48" i="2"/>
  <c r="I46" i="2"/>
  <c r="I44" i="2"/>
  <c r="I42" i="2"/>
  <c r="I40" i="2"/>
  <c r="I38" i="2"/>
  <c r="I36" i="2"/>
  <c r="I34" i="2"/>
  <c r="I32" i="2"/>
  <c r="I30" i="2"/>
  <c r="I28" i="2"/>
  <c r="I26" i="2"/>
  <c r="I10" i="2"/>
  <c r="I12" i="2"/>
  <c r="I14" i="2"/>
  <c r="I16" i="2"/>
  <c r="I18" i="2"/>
  <c r="I20" i="2"/>
  <c r="I22" i="2"/>
  <c r="I24" i="2"/>
  <c r="I82" i="2"/>
  <c r="F8" i="2"/>
  <c r="F9" i="2"/>
  <c r="B4" i="2"/>
  <c r="B3" i="2"/>
  <c r="B2" i="2"/>
  <c r="H82" i="2"/>
  <c r="G8" i="2"/>
</calcChain>
</file>

<file path=xl/sharedStrings.xml><?xml version="1.0" encoding="utf-8"?>
<sst xmlns="http://schemas.openxmlformats.org/spreadsheetml/2006/main" count="489" uniqueCount="225">
  <si>
    <t>Al</t>
  </si>
  <si>
    <t>As</t>
  </si>
  <si>
    <t>B</t>
  </si>
  <si>
    <t>Ba</t>
  </si>
  <si>
    <t>Be</t>
  </si>
  <si>
    <t>Bi</t>
  </si>
  <si>
    <t>Br</t>
  </si>
  <si>
    <t>Ca</t>
  </si>
  <si>
    <t>Cd</t>
  </si>
  <si>
    <t>Cl</t>
  </si>
  <si>
    <t>Co</t>
  </si>
  <si>
    <t>Cr</t>
  </si>
  <si>
    <t>Cs</t>
  </si>
  <si>
    <t>Cu</t>
  </si>
  <si>
    <t>Fe</t>
  </si>
  <si>
    <t>Ga</t>
  </si>
  <si>
    <t>I</t>
  </si>
  <si>
    <t>In</t>
  </si>
  <si>
    <t>K</t>
  </si>
  <si>
    <t>Li</t>
  </si>
  <si>
    <t>Mg</t>
  </si>
  <si>
    <t>Mn</t>
  </si>
  <si>
    <t>Mo</t>
  </si>
  <si>
    <t>Na</t>
  </si>
  <si>
    <t>Ni</t>
  </si>
  <si>
    <t>Pb</t>
  </si>
  <si>
    <t>Rb</t>
  </si>
  <si>
    <t>S</t>
  </si>
  <si>
    <t>Se</t>
  </si>
  <si>
    <t>Si</t>
  </si>
  <si>
    <t>Sr</t>
  </si>
  <si>
    <t>U</t>
  </si>
  <si>
    <t>V</t>
  </si>
  <si>
    <t>Zn</t>
  </si>
  <si>
    <t>Tl</t>
  </si>
  <si>
    <t>Captiv8 Aquaculture Salinity and Ionic Value Calculator for ICP Analysis</t>
  </si>
  <si>
    <t>Customer Name</t>
  </si>
  <si>
    <t>Customer Email</t>
  </si>
  <si>
    <t>Date of Analysis</t>
  </si>
  <si>
    <t>% Variance of</t>
  </si>
  <si>
    <t>Calculated Values at Sample S</t>
  </si>
  <si>
    <t>Net System Volume (gal.)</t>
  </si>
  <si>
    <t>n/a</t>
  </si>
  <si>
    <t>Supplement</t>
  </si>
  <si>
    <t>Isol8 B</t>
  </si>
  <si>
    <t>Isol8 Br</t>
  </si>
  <si>
    <t>Isol8 Co</t>
  </si>
  <si>
    <t>Isol8 Cu</t>
  </si>
  <si>
    <t>Isol8 Fe</t>
  </si>
  <si>
    <t>Isol8 I</t>
  </si>
  <si>
    <t>Isol8 K</t>
  </si>
  <si>
    <t>Isol8 Mg</t>
  </si>
  <si>
    <t>Isol8 Mn</t>
  </si>
  <si>
    <t>Isol8 Mo</t>
  </si>
  <si>
    <t>Isol8 Ni</t>
  </si>
  <si>
    <t>Isol8 Rb</t>
  </si>
  <si>
    <t>Isol8 Se</t>
  </si>
  <si>
    <t>Isol8 Si</t>
  </si>
  <si>
    <t>Isol8 Sr</t>
  </si>
  <si>
    <t>Isol8 V</t>
  </si>
  <si>
    <t>Isol8 Zn</t>
  </si>
  <si>
    <t>F</t>
  </si>
  <si>
    <t>Isol8 F</t>
  </si>
  <si>
    <t>Measured vs. Calculated</t>
  </si>
  <si>
    <t>Dosage req'd at time of sampling</t>
  </si>
  <si>
    <t>mL</t>
  </si>
  <si>
    <t>Drops (20 per mL)</t>
  </si>
  <si>
    <t>Chloride is the most prevalant anion in seawater and generally requires no dosing</t>
  </si>
  <si>
    <t>Sodium is the most prevalant cation in seawater and generally requires no dosing</t>
  </si>
  <si>
    <t>It is not advised to dose Aluminum in closed recirculating marine ecosystems</t>
  </si>
  <si>
    <t>It is not advised to dose Arsenic in closed recirculating marine ecosystems</t>
  </si>
  <si>
    <t>It is not advised to dose Barium in closed recirculating marine ecosystems</t>
  </si>
  <si>
    <t>It is not advised to dose Beryllium in closed recirculating marine ecosystems</t>
  </si>
  <si>
    <t>It is not advised to dose Bismuth in closed recirculating marine ecosystems</t>
  </si>
  <si>
    <t>It is not advised to dose Cadmium in closed recirculating marine ecosystems</t>
  </si>
  <si>
    <t>It is not advised to dose Caesium in closed recirculating marine ecosystems</t>
  </si>
  <si>
    <t>It is not advised to dose Gallium in closed recirculating marine ecosystems</t>
  </si>
  <si>
    <t>It is not advised to dose Indium in closed recirculating marine ecosystems</t>
  </si>
  <si>
    <t>It is not advised to dose Lithium in closed recirculating marine ecosystems</t>
  </si>
  <si>
    <t>It is not advised to dose Lead in closed recirculating marine ecosystems</t>
  </si>
  <si>
    <t>It is not advised to dose Uranium in closed recirculating marine ecosystems</t>
  </si>
  <si>
    <t>It is not advised to dose Thallium in closed recirculating marine ecosystems</t>
  </si>
  <si>
    <t>Aluminum</t>
  </si>
  <si>
    <t>Arsenic</t>
  </si>
  <si>
    <t>Boron</t>
  </si>
  <si>
    <t>Barium</t>
  </si>
  <si>
    <t>Beryllium</t>
  </si>
  <si>
    <t>Bismuth</t>
  </si>
  <si>
    <t>Bromide</t>
  </si>
  <si>
    <t>Calcium</t>
  </si>
  <si>
    <t>Chloride</t>
  </si>
  <si>
    <t>Cobalt</t>
  </si>
  <si>
    <t>Chromium</t>
  </si>
  <si>
    <t>Caesium</t>
  </si>
  <si>
    <t>Copper</t>
  </si>
  <si>
    <t>Fluoride</t>
  </si>
  <si>
    <t>Iron</t>
  </si>
  <si>
    <t>Gallium</t>
  </si>
  <si>
    <t>Iodide</t>
  </si>
  <si>
    <t>Indium</t>
  </si>
  <si>
    <t>Potassium</t>
  </si>
  <si>
    <t>Lithium</t>
  </si>
  <si>
    <t>Magnesium</t>
  </si>
  <si>
    <t>Manganese</t>
  </si>
  <si>
    <t>Molybdenum</t>
  </si>
  <si>
    <t>Sodium</t>
  </si>
  <si>
    <t>Nickel</t>
  </si>
  <si>
    <t>Lead</t>
  </si>
  <si>
    <t>Rubidium</t>
  </si>
  <si>
    <t>Sulfur</t>
  </si>
  <si>
    <t>Selenium</t>
  </si>
  <si>
    <t>Silicon</t>
  </si>
  <si>
    <t>Strontium</t>
  </si>
  <si>
    <t>Thallium</t>
  </si>
  <si>
    <t>Uranium</t>
  </si>
  <si>
    <t>Vanadium</t>
  </si>
  <si>
    <t>Zinc</t>
  </si>
  <si>
    <t>Alkalinity</t>
  </si>
  <si>
    <t>dKH</t>
  </si>
  <si>
    <t>Please enter your name</t>
  </si>
  <si>
    <t>Please enter your email</t>
  </si>
  <si>
    <t>Please enter the date of the ICP analysis</t>
  </si>
  <si>
    <t>Please enter the net system volume (gallons)</t>
  </si>
  <si>
    <t>Water temperature</t>
  </si>
  <si>
    <t>°F</t>
  </si>
  <si>
    <t>Specific Gravity</t>
  </si>
  <si>
    <t>g/cm3</t>
  </si>
  <si>
    <t>Important: After entering all values in the fields below, save this file with your initials and the date, and then email it to lab@captiv8aquaculture.com.</t>
  </si>
  <si>
    <t>ICP Analysis Evaluation</t>
  </si>
  <si>
    <t>Sulfate Calculated</t>
  </si>
  <si>
    <t>Salinity Calculated*</t>
  </si>
  <si>
    <t>*Calculated salinity incorporates reported alkalinity value, and assumes that the majority of alkalinity comes from carbonate species.</t>
  </si>
  <si>
    <t>Reported Values</t>
  </si>
  <si>
    <t>Element</t>
  </si>
  <si>
    <t>Symbol</t>
  </si>
  <si>
    <t>Note: In systems with hydroxide and borate dosing, dKH is of questionable value; better is to use meq/L, which takes into account all ions which influence pH.</t>
  </si>
  <si>
    <t>Cadmium</t>
  </si>
  <si>
    <t>Captiv8 Aquaculture</t>
  </si>
  <si>
    <t>ppm</t>
  </si>
  <si>
    <t>If ICP analysis does not provide a value for the element, or the value is below the ICP detection level (e.g. "none detected"), then leave value as "0.0000".</t>
  </si>
  <si>
    <t>Sulfate is the second-most prevalant anion in seawater and generally requires no dosing; sulfate value is calculated from sulfur value</t>
  </si>
  <si>
    <t>See notes below pertaining to sulfate</t>
  </si>
  <si>
    <t>Notes</t>
  </si>
  <si>
    <r>
      <t xml:space="preserve">Column 'G' shows salinity-adjusted ionic values (what the values </t>
    </r>
    <r>
      <rPr>
        <i/>
        <sz val="8"/>
        <rFont val="Tahoma"/>
      </rPr>
      <t>should be</t>
    </r>
    <r>
      <rPr>
        <sz val="8"/>
        <rFont val="Tahoma"/>
      </rPr>
      <t xml:space="preserve"> at the measured salinity using NSW S = 35.1797 as standard).</t>
    </r>
  </si>
  <si>
    <t>**Natural Seawater Ionic Reference Values at S=35.1797, incorporating dKH value reported in ICP analysis.</t>
  </si>
  <si>
    <t>Std NSW Values** @ S</t>
  </si>
  <si>
    <t>Adj NSW Values @ S</t>
  </si>
  <si>
    <t>Total mg req'd</t>
  </si>
  <si>
    <t>Recommended change in daily dosage*</t>
  </si>
  <si>
    <t>*Apply the recommended change in daily dosing to the current dosage of that solution (if applicable). If an element is elevated and the recommendation is to change the daily dosage by a negative value, then simply deduct the recommended change in dosage from the current dosage.</t>
  </si>
  <si>
    <t>Isol8 Cr</t>
  </si>
  <si>
    <t>Isol8 Ca</t>
  </si>
  <si>
    <t>Ion</t>
  </si>
  <si>
    <t>Dosing Recommendations</t>
  </si>
  <si>
    <t>Please enter the number of days until you intend to submit the next ICP sample</t>
  </si>
  <si>
    <t>days</t>
  </si>
  <si>
    <t>gallons</t>
  </si>
  <si>
    <t>*Cobalt</t>
  </si>
  <si>
    <t>*Copper</t>
  </si>
  <si>
    <t>*Iron</t>
  </si>
  <si>
    <t>*Manganese</t>
  </si>
  <si>
    <t>*Molybdenum</t>
  </si>
  <si>
    <t>*Nickel</t>
  </si>
  <si>
    <t>*Selenium</t>
  </si>
  <si>
    <t>*Zinc</t>
  </si>
  <si>
    <t>Custom Minor and Trace Element Solution Calculator</t>
  </si>
  <si>
    <t>Condition</t>
  </si>
  <si>
    <t>Isol8 MT Calculation</t>
  </si>
  <si>
    <t>gallon(s)</t>
  </si>
  <si>
    <t>In a clean mixing and storage vessel, add the following gallons of purified water:</t>
  </si>
  <si>
    <t>Step 1</t>
  </si>
  <si>
    <t>Step 2</t>
  </si>
  <si>
    <t>Add the required Isol8 solutions, as shown:</t>
  </si>
  <si>
    <t>Step 3</t>
  </si>
  <si>
    <t>Enter days of solution being prepared:</t>
  </si>
  <si>
    <t>Enter volume of solution being prepared:</t>
  </si>
  <si>
    <t>Step 4</t>
  </si>
  <si>
    <t>Step 5</t>
  </si>
  <si>
    <t>Add purified water to the vessel until the total volume is:</t>
  </si>
  <si>
    <t>Set the dosing pump to dispense the following volume of solution to the system every 24 hours:</t>
  </si>
  <si>
    <t>Instant Analysis</t>
  </si>
  <si>
    <t>% Variance</t>
  </si>
  <si>
    <t>Calculated Salinity</t>
  </si>
  <si>
    <t>NSW [Ion]</t>
  </si>
  <si>
    <t>Remarks</t>
  </si>
  <si>
    <r>
      <rPr>
        <b/>
        <sz val="12"/>
        <rFont val="Tahoma"/>
      </rPr>
      <t>CHLORIDE:</t>
    </r>
    <r>
      <rPr>
        <sz val="12"/>
        <rFont val="Tahoma"/>
      </rPr>
      <t xml:space="preserve"> If analsysis does not include chloride (this may be shown as "chlorine" on some reports) value, then be sure to enter values for specific gravity and water temperature, continue completing all other fields, and save and email the file to us; we will provide a calculated chloride value.</t>
    </r>
  </si>
  <si>
    <t>Instructions for preparing a customized minor and trace element solution, as well as recommended changes in the daily dosage of Isol8 MT (if applicable), can be found on the next tab.</t>
  </si>
  <si>
    <t>Cap the vessel securely and shake for 30 seconds, or use a clean stirring rod and stir for 1 minute, to ensure homogeneity of the solution. Store the solution at room temperature and avoid exposure to strong light sources.  Do not permit contamination.  Transfer the solution to the dosing vessel (if necessary) and install the intake tube to the dosing pump.</t>
  </si>
  <si>
    <t>Enter Data</t>
  </si>
  <si>
    <t>Critical to photosynthesis and other biochemical processes, including pigment formation.</t>
  </si>
  <si>
    <t>Contributes to alkalinity and biological pigmentation.</t>
  </si>
  <si>
    <t>Contributes to aragonite formation and secretion.</t>
  </si>
  <si>
    <t>Most prevalent anion in seawater; ideal % Variance value is within 5% of NSW[Ion].</t>
  </si>
  <si>
    <t>Second-most prevalent anion in seawater; ideal % Variance value is within 5% of NSW[Ion].</t>
  </si>
  <si>
    <t>Contributes to aragonite formation and secretion; associated with alkalinity balance.</t>
  </si>
  <si>
    <t>Most prevalent cation in seawater; ideal % Variance value is within 5% of NSW[Ion].</t>
  </si>
  <si>
    <t>Critical to some groups of plankton, as well as dinoflagellates such as zooxanthellae.</t>
  </si>
  <si>
    <t>Potentially toxic to marine life when % Variance value &gt;0.</t>
  </si>
  <si>
    <t>Associated with biochemical processes.</t>
  </si>
  <si>
    <t>Associated with biochemical processes and biological pigment formation.</t>
  </si>
  <si>
    <t>Enter name here</t>
  </si>
  <si>
    <t>Enter email here</t>
  </si>
  <si>
    <t>Enter date here</t>
  </si>
  <si>
    <t>Fluoride (leave as '0' if not analyzed)</t>
  </si>
  <si>
    <t>Recommended change in daily dosing</t>
  </si>
  <si>
    <t>Any ions in the following list which are "Deficient" should be supplemented with the appropriate Isol8 solution using the value shown in the table above.</t>
  </si>
  <si>
    <t>If you are currently dosing Isol8 MT, then refer to the white box section below for dosing recommendations.</t>
  </si>
  <si>
    <t>Copyright 2023 Captiv8 Aquaculture | Sheridan, WY 82801 USA | lab@captiv8aquaculture.com</t>
  </si>
  <si>
    <t>Note: while iodide is a component of Isol8 MT, it is rapidly reduced in recirculating marine ecosystems, and an elevated condition generally does not persist for more than 48 hours following cessation of iodide dosing. Therefore, we do not advocate a decrease in Isol8 MT dosing if the only component ion showing an elevated state is iodide. For this reason, iodide is excluded from the list below.</t>
  </si>
  <si>
    <t>Enter current daily dosage (if applicable)</t>
  </si>
  <si>
    <t>Revised daily dosage recommendation</t>
  </si>
  <si>
    <t>Manual Dosing Recommendations</t>
  </si>
  <si>
    <t>If you prefer to dose minor and/or trace elements daily by hand, then please follow 'Manual Dosing Recommendations' below. If your preference is to prepare a dilute solution which can be dosed by a dosing pump, then follow 'Custom Minor and Trace Element Solution Calculator' at right.</t>
  </si>
  <si>
    <t>Drops</t>
  </si>
  <si>
    <t>Applicable Captiv8 Aquaculture Sol'n</t>
  </si>
  <si>
    <t>*Chromium</t>
  </si>
  <si>
    <t>IMPORTANT: If the condition of any minor or trace element (denoted with an asterisk below) indicates being elevated by more than 100%, then it is recommended to discontinue dosing of supplements providing those elements until the next ICP analysis is performed.</t>
  </si>
  <si>
    <t>*Iodide</t>
  </si>
  <si>
    <t>*Vanadium</t>
  </si>
  <si>
    <t>*Rubidium</t>
  </si>
  <si>
    <t>At the salinity of the ICP sample analyzed, the value of each ion differs from the natural seawater standard by the % shown under the "% Variance" column below. The standardized value is shown in the "NSW [Ion]" column. For all elements, regardless of whether they are considered critical to marine organisms, % variance values &gt;20% indicate a significant excess, and should be addressed by decreasing dosing of any substance containing that element or eliminating sources and possibly taking steps to reduce existing concentrations using appropriate filtration methods. If using Isol8 solutions, then dosing recommendations are made on the "Dosing Recommendations" tab.</t>
  </si>
  <si>
    <r>
      <rPr>
        <u/>
        <sz val="12"/>
        <rFont val="Tahoma"/>
      </rPr>
      <t>Enter ICP values for all elements in ppm</t>
    </r>
    <r>
      <rPr>
        <sz val="12"/>
        <rFont val="Tahoma"/>
      </rPr>
      <t xml:space="preserve"> (for values reported as ppb, move decimal three places left (1 ppb = 0.001 ppm)). If your analysis lists values in units of mg/L, then simply enter the mg/L values (they are close enough to ppm for this purpose).</t>
    </r>
  </si>
  <si>
    <t>Sol'n Strength ppm</t>
  </si>
  <si>
    <r>
      <t xml:space="preserve">If you are currently dosing Isol8 MT and the values of any of the ions listed in the table below are elevated </t>
    </r>
    <r>
      <rPr>
        <b/>
        <i/>
        <sz val="12"/>
        <rFont val="Tahoma"/>
      </rPr>
      <t>by more than 50% but are less than 100%</t>
    </r>
    <r>
      <rPr>
        <b/>
        <sz val="12"/>
        <rFont val="Tahoma"/>
      </rPr>
      <t>, then decrease the current daily dosage of Isol8 MT by 50% until results from the next ICP analysis are received.</t>
    </r>
  </si>
  <si>
    <r>
      <t xml:space="preserve">If you are currently dosing Isol8 MT and the values of any of the ions listed in the table below are elevated </t>
    </r>
    <r>
      <rPr>
        <b/>
        <i/>
        <sz val="12"/>
        <rFont val="Tahoma"/>
      </rPr>
      <t>by more than 100%</t>
    </r>
    <r>
      <rPr>
        <b/>
        <sz val="12"/>
        <rFont val="Tahoma"/>
      </rPr>
      <t>, then cease dosing with Isol8 MT until results from the next ICP analysis are received, and address ion deficiencies with individual Isol8 solutions as necessary.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</si>
</sst>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E+00"/>
    <numFmt numFmtId="166" formatCode="0.0000"/>
    <numFmt numFmtId="167" formatCode="[$-409]d\-mmm\-yy;@"/>
    <numFmt numFmtId="168" formatCode="0.0000%"/>
    <numFmt numFmtId="169" formatCode="0.0000000"/>
    <numFmt numFmtId="170" formatCode="0.000000"/>
  </numFmts>
  <fonts count="23" x14ac:knownFonts="1">
    <font>
      <sz val="12"/>
      <color theme="1"/>
      <name val="Calibri"/>
      <family val="2"/>
      <scheme val="minor"/>
    </font>
    <font>
      <sz val="12"/>
      <color theme="1"/>
      <name val="Calibri"/>
      <family val="2"/>
      <scheme val="minor"/>
    </font>
    <font>
      <sz val="8"/>
      <name val="Tahoma"/>
    </font>
    <font>
      <sz val="8"/>
      <color theme="1"/>
      <name val="Tahoma"/>
    </font>
    <font>
      <u/>
      <sz val="12"/>
      <color theme="10"/>
      <name val="Calibri"/>
      <family val="2"/>
      <scheme val="minor"/>
    </font>
    <font>
      <u/>
      <sz val="12"/>
      <color theme="11"/>
      <name val="Calibri"/>
      <family val="2"/>
      <scheme val="minor"/>
    </font>
    <font>
      <i/>
      <sz val="8"/>
      <name val="Tahoma"/>
    </font>
    <font>
      <sz val="12"/>
      <name val="Tahoma"/>
    </font>
    <font>
      <u/>
      <sz val="8"/>
      <name val="Tahoma"/>
    </font>
    <font>
      <b/>
      <sz val="8"/>
      <name val="Tahoma"/>
    </font>
    <font>
      <sz val="8"/>
      <name val="Calibri"/>
      <family val="2"/>
      <scheme val="minor"/>
    </font>
    <font>
      <sz val="8"/>
      <name val="Arial"/>
    </font>
    <font>
      <b/>
      <sz val="12"/>
      <color theme="1"/>
      <name val="Calibri"/>
      <family val="2"/>
      <scheme val="minor"/>
    </font>
    <font>
      <b/>
      <sz val="12"/>
      <name val="Tahoma"/>
    </font>
    <font>
      <sz val="12"/>
      <name val="Calibri"/>
      <family val="2"/>
      <scheme val="minor"/>
    </font>
    <font>
      <u/>
      <sz val="12"/>
      <name val="Tahoma"/>
    </font>
    <font>
      <sz val="10"/>
      <name val="Tahoma"/>
    </font>
    <font>
      <sz val="12"/>
      <color theme="1"/>
      <name val="Tahoma"/>
    </font>
    <font>
      <b/>
      <sz val="12"/>
      <color theme="1"/>
      <name val="Tahoma"/>
    </font>
    <font>
      <b/>
      <i/>
      <sz val="12"/>
      <color theme="1"/>
      <name val="Tahoma"/>
    </font>
    <font>
      <sz val="12"/>
      <color theme="0"/>
      <name val="Calibri"/>
      <family val="2"/>
      <scheme val="minor"/>
    </font>
    <font>
      <sz val="12"/>
      <color theme="0"/>
      <name val="Tahoma"/>
    </font>
    <font>
      <b/>
      <i/>
      <sz val="12"/>
      <name val="Tahoma"/>
    </font>
  </fonts>
  <fills count="9">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rgb="FF800000"/>
        <bgColor indexed="64"/>
      </patternFill>
    </fill>
    <fill>
      <patternFill patternType="solid">
        <fgColor rgb="FFFFD966"/>
        <bgColor rgb="FF000000"/>
      </patternFill>
    </fill>
    <fill>
      <patternFill patternType="solid">
        <fgColor theme="8" tint="-0.49998474074526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s>
  <cellStyleXfs count="6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295">
    <xf numFmtId="0" fontId="0" fillId="0" borderId="0" xfId="0"/>
    <xf numFmtId="0" fontId="7" fillId="3" borderId="0" xfId="0" applyFont="1" applyFill="1"/>
    <xf numFmtId="0" fontId="7" fillId="3" borderId="0" xfId="0" applyFont="1" applyFill="1" applyAlignment="1">
      <alignment vertical="justify"/>
    </xf>
    <xf numFmtId="0" fontId="7" fillId="3" borderId="0" xfId="0" applyFont="1" applyFill="1" applyAlignment="1">
      <alignment horizontal="left"/>
    </xf>
    <xf numFmtId="0" fontId="7" fillId="3" borderId="0" xfId="0" applyFont="1" applyFill="1" applyAlignment="1">
      <alignment horizontal="center"/>
    </xf>
    <xf numFmtId="166" fontId="7" fillId="3" borderId="0" xfId="0" applyNumberFormat="1" applyFont="1" applyFill="1" applyAlignment="1">
      <alignment horizontal="left" vertical="center"/>
    </xf>
    <xf numFmtId="164" fontId="7" fillId="3" borderId="0" xfId="0" applyNumberFormat="1" applyFont="1" applyFill="1" applyAlignment="1">
      <alignment horizontal="left"/>
    </xf>
    <xf numFmtId="0" fontId="7" fillId="3" borderId="0" xfId="0" applyFont="1" applyFill="1" applyAlignment="1">
      <alignment horizontal="center" vertical="center" wrapText="1"/>
    </xf>
    <xf numFmtId="0" fontId="2" fillId="3" borderId="0" xfId="0" applyFont="1" applyFill="1"/>
    <xf numFmtId="0" fontId="8" fillId="3" borderId="0" xfId="257" applyFont="1" applyFill="1" applyBorder="1" applyProtection="1"/>
    <xf numFmtId="167" fontId="2" fillId="3" borderId="0" xfId="0" applyNumberFormat="1" applyFont="1" applyFill="1" applyAlignment="1">
      <alignment horizontal="left"/>
    </xf>
    <xf numFmtId="0" fontId="2" fillId="3" borderId="6" xfId="0" applyFont="1" applyFill="1" applyBorder="1" applyAlignment="1">
      <alignment horizontal="center"/>
    </xf>
    <xf numFmtId="0" fontId="2" fillId="3" borderId="4" xfId="0" applyFont="1" applyFill="1" applyBorder="1" applyAlignment="1">
      <alignment horizontal="center"/>
    </xf>
    <xf numFmtId="0" fontId="2" fillId="3" borderId="0" xfId="0" applyFont="1" applyFill="1" applyAlignment="1">
      <alignment horizontal="center" vertical="center"/>
    </xf>
    <xf numFmtId="14" fontId="2" fillId="3" borderId="0" xfId="0" applyNumberFormat="1" applyFont="1" applyFill="1" applyAlignment="1">
      <alignment horizontal="center" vertical="center"/>
    </xf>
    <xf numFmtId="166" fontId="2" fillId="3" borderId="0" xfId="0" applyNumberFormat="1" applyFont="1" applyFill="1" applyAlignment="1">
      <alignment horizontal="left" vertical="center"/>
    </xf>
    <xf numFmtId="0" fontId="2" fillId="3" borderId="5" xfId="0" applyFont="1" applyFill="1" applyBorder="1" applyAlignment="1">
      <alignment horizontal="center"/>
    </xf>
    <xf numFmtId="0" fontId="2" fillId="3" borderId="4" xfId="0" applyFont="1" applyFill="1" applyBorder="1"/>
    <xf numFmtId="0" fontId="2" fillId="3" borderId="0" xfId="0" applyFont="1" applyFill="1" applyAlignment="1">
      <alignment horizontal="right"/>
    </xf>
    <xf numFmtId="0" fontId="2" fillId="3" borderId="0" xfId="0" applyFont="1" applyFill="1" applyAlignment="1">
      <alignment horizontal="left"/>
    </xf>
    <xf numFmtId="166" fontId="2" fillId="3" borderId="0" xfId="0" applyNumberFormat="1" applyFont="1" applyFill="1" applyAlignment="1">
      <alignment horizontal="right"/>
    </xf>
    <xf numFmtId="166" fontId="2" fillId="3" borderId="0" xfId="0" applyNumberFormat="1" applyFont="1" applyFill="1" applyAlignment="1">
      <alignment horizontal="right" vertical="center"/>
    </xf>
    <xf numFmtId="165" fontId="2" fillId="3" borderId="0" xfId="0" applyNumberFormat="1" applyFont="1" applyFill="1" applyAlignment="1">
      <alignment horizontal="right" vertical="center"/>
    </xf>
    <xf numFmtId="168" fontId="2" fillId="3" borderId="0" xfId="0" applyNumberFormat="1" applyFont="1" applyFill="1" applyAlignment="1">
      <alignment horizontal="right" vertical="center"/>
    </xf>
    <xf numFmtId="0" fontId="2" fillId="3" borderId="0" xfId="0" applyFont="1" applyFill="1" applyAlignment="1">
      <alignment horizontal="center" vertical="center" wrapText="1"/>
    </xf>
    <xf numFmtId="0" fontId="9" fillId="3" borderId="0" xfId="0" applyFont="1" applyFill="1" applyAlignment="1">
      <alignment horizontal="center" vertical="center" wrapText="1"/>
    </xf>
    <xf numFmtId="0" fontId="11" fillId="3" borderId="0" xfId="0" applyFont="1" applyFill="1"/>
    <xf numFmtId="0" fontId="2" fillId="3" borderId="0" xfId="0" applyFont="1" applyFill="1" applyAlignment="1">
      <alignment vertical="justify"/>
    </xf>
    <xf numFmtId="166" fontId="2" fillId="3" borderId="0" xfId="0" applyNumberFormat="1" applyFont="1" applyFill="1" applyAlignment="1">
      <alignment horizontal="center"/>
    </xf>
    <xf numFmtId="166" fontId="2" fillId="3" borderId="0" xfId="0" applyNumberFormat="1" applyFont="1" applyFill="1" applyAlignment="1">
      <alignment horizontal="center" vertical="justify"/>
    </xf>
    <xf numFmtId="0" fontId="0" fillId="3" borderId="0" xfId="0" applyFill="1" applyAlignment="1">
      <alignment horizontal="center" vertical="justify"/>
    </xf>
    <xf numFmtId="169" fontId="2" fillId="3" borderId="0" xfId="0" applyNumberFormat="1" applyFont="1" applyFill="1" applyAlignment="1">
      <alignment horizontal="right"/>
    </xf>
    <xf numFmtId="164" fontId="2" fillId="3" borderId="0" xfId="0" applyNumberFormat="1" applyFont="1" applyFill="1" applyAlignment="1">
      <alignment horizontal="center"/>
    </xf>
    <xf numFmtId="165" fontId="2" fillId="3" borderId="0" xfId="0" applyNumberFormat="1" applyFont="1" applyFill="1" applyAlignment="1">
      <alignment horizontal="right"/>
    </xf>
    <xf numFmtId="0" fontId="2" fillId="4" borderId="0" xfId="0" applyFont="1" applyFill="1" applyAlignment="1">
      <alignment horizontal="center" vertical="center" wrapText="1"/>
    </xf>
    <xf numFmtId="166" fontId="2" fillId="4" borderId="0" xfId="0" applyNumberFormat="1" applyFont="1" applyFill="1" applyAlignment="1">
      <alignment horizontal="left" vertical="center"/>
    </xf>
    <xf numFmtId="0" fontId="2" fillId="4" borderId="0" xfId="0" applyFont="1" applyFill="1" applyAlignment="1">
      <alignment horizontal="center"/>
    </xf>
    <xf numFmtId="0" fontId="2" fillId="4" borderId="0" xfId="0" applyFont="1" applyFill="1" applyAlignment="1">
      <alignment horizontal="right"/>
    </xf>
    <xf numFmtId="166" fontId="2" fillId="3" borderId="0" xfId="0" applyNumberFormat="1" applyFont="1" applyFill="1" applyAlignment="1">
      <alignment horizontal="left" vertical="justify"/>
    </xf>
    <xf numFmtId="0" fontId="0" fillId="3" borderId="0" xfId="0" applyFill="1" applyAlignment="1">
      <alignment horizontal="left" vertical="justify"/>
    </xf>
    <xf numFmtId="0" fontId="2" fillId="3" borderId="5" xfId="0" applyFont="1" applyFill="1" applyBorder="1" applyAlignment="1">
      <alignment horizontal="center" vertical="justify"/>
    </xf>
    <xf numFmtId="166" fontId="2" fillId="4" borderId="0" xfId="0" applyNumberFormat="1" applyFont="1" applyFill="1" applyAlignment="1">
      <alignment horizontal="center"/>
    </xf>
    <xf numFmtId="0" fontId="2" fillId="4" borderId="0" xfId="0" applyFont="1" applyFill="1" applyAlignment="1">
      <alignment horizontal="left"/>
    </xf>
    <xf numFmtId="0" fontId="7" fillId="3" borderId="0" xfId="0" applyFont="1" applyFill="1" applyAlignment="1">
      <alignment vertical="top"/>
    </xf>
    <xf numFmtId="166" fontId="3" fillId="3" borderId="5" xfId="0" applyNumberFormat="1" applyFont="1" applyFill="1" applyBorder="1" applyAlignment="1">
      <alignment horizontal="center"/>
    </xf>
    <xf numFmtId="166" fontId="2" fillId="4" borderId="0" xfId="0" applyNumberFormat="1" applyFont="1" applyFill="1" applyAlignment="1">
      <alignment horizontal="right"/>
    </xf>
    <xf numFmtId="165" fontId="2" fillId="4" borderId="0" xfId="0" applyNumberFormat="1" applyFont="1" applyFill="1" applyAlignment="1">
      <alignment horizontal="right"/>
    </xf>
    <xf numFmtId="166" fontId="2" fillId="3" borderId="9" xfId="0" applyNumberFormat="1" applyFont="1" applyFill="1" applyBorder="1" applyAlignment="1">
      <alignment horizontal="right" vertical="center"/>
    </xf>
    <xf numFmtId="11" fontId="2" fillId="4" borderId="9" xfId="0" applyNumberFormat="1" applyFont="1" applyFill="1" applyBorder="1" applyAlignment="1">
      <alignment horizontal="right" vertical="center"/>
    </xf>
    <xf numFmtId="11" fontId="2" fillId="3" borderId="9" xfId="0" applyNumberFormat="1" applyFont="1" applyFill="1" applyBorder="1" applyAlignment="1">
      <alignment horizontal="right" vertical="center"/>
    </xf>
    <xf numFmtId="165" fontId="2" fillId="4" borderId="9" xfId="0" applyNumberFormat="1" applyFont="1" applyFill="1" applyBorder="1" applyAlignment="1">
      <alignment horizontal="right" vertical="center"/>
    </xf>
    <xf numFmtId="165" fontId="2" fillId="3" borderId="9" xfId="0" applyNumberFormat="1" applyFont="1" applyFill="1" applyBorder="1" applyAlignment="1">
      <alignment horizontal="right" vertical="center"/>
    </xf>
    <xf numFmtId="164" fontId="2" fillId="4" borderId="9" xfId="0" applyNumberFormat="1" applyFont="1" applyFill="1" applyBorder="1" applyAlignment="1">
      <alignment horizontal="right" vertical="center"/>
    </xf>
    <xf numFmtId="164" fontId="2" fillId="3" borderId="9" xfId="0" applyNumberFormat="1" applyFont="1" applyFill="1" applyBorder="1" applyAlignment="1">
      <alignment horizontal="right" vertical="center"/>
    </xf>
    <xf numFmtId="166" fontId="2" fillId="3" borderId="5" xfId="0" applyNumberFormat="1" applyFont="1" applyFill="1" applyBorder="1" applyAlignment="1">
      <alignment horizontal="right" vertical="center"/>
    </xf>
    <xf numFmtId="0" fontId="2" fillId="3" borderId="9" xfId="0" applyFont="1" applyFill="1" applyBorder="1" applyAlignment="1">
      <alignment horizontal="right" vertical="center"/>
    </xf>
    <xf numFmtId="168" fontId="2" fillId="4" borderId="9" xfId="0" applyNumberFormat="1" applyFont="1" applyFill="1" applyBorder="1" applyAlignment="1">
      <alignment horizontal="right" vertical="center"/>
    </xf>
    <xf numFmtId="168" fontId="2" fillId="3" borderId="9" xfId="0" applyNumberFormat="1" applyFont="1" applyFill="1" applyBorder="1" applyAlignment="1">
      <alignment horizontal="right" vertical="center"/>
    </xf>
    <xf numFmtId="168" fontId="2" fillId="3" borderId="5" xfId="0" applyNumberFormat="1" applyFont="1" applyFill="1" applyBorder="1" applyAlignment="1">
      <alignment horizontal="right" vertical="center"/>
    </xf>
    <xf numFmtId="0" fontId="9" fillId="3" borderId="0" xfId="0" applyFont="1" applyFill="1"/>
    <xf numFmtId="0" fontId="10" fillId="4" borderId="0" xfId="0" applyFont="1" applyFill="1"/>
    <xf numFmtId="166" fontId="2" fillId="4" borderId="0" xfId="0" applyNumberFormat="1" applyFont="1" applyFill="1" applyAlignment="1">
      <alignment horizontal="right" vertical="center"/>
    </xf>
    <xf numFmtId="0" fontId="10" fillId="3" borderId="0" xfId="0" applyFont="1" applyFill="1"/>
    <xf numFmtId="0" fontId="2" fillId="4" borderId="0" xfId="0" applyFont="1" applyFill="1"/>
    <xf numFmtId="0" fontId="0" fillId="3" borderId="0" xfId="0" applyFill="1" applyAlignment="1">
      <alignment vertical="justify" wrapText="1"/>
    </xf>
    <xf numFmtId="166" fontId="2" fillId="3" borderId="7" xfId="0" applyNumberFormat="1" applyFont="1" applyFill="1" applyBorder="1" applyAlignment="1">
      <alignment horizontal="center"/>
    </xf>
    <xf numFmtId="0" fontId="14" fillId="3" borderId="0" xfId="0" applyFont="1" applyFill="1"/>
    <xf numFmtId="0" fontId="13" fillId="3" borderId="0" xfId="0" applyFont="1" applyFill="1"/>
    <xf numFmtId="0" fontId="16" fillId="3" borderId="0" xfId="0" applyFont="1" applyFill="1"/>
    <xf numFmtId="0" fontId="2" fillId="3" borderId="0" xfId="0" applyFont="1" applyFill="1" applyAlignment="1">
      <alignment horizontal="center"/>
    </xf>
    <xf numFmtId="0" fontId="2" fillId="3" borderId="1" xfId="0" applyFont="1" applyFill="1" applyBorder="1" applyAlignment="1">
      <alignment horizontal="center" vertical="justify"/>
    </xf>
    <xf numFmtId="0" fontId="2" fillId="3" borderId="0" xfId="0" applyFont="1" applyFill="1" applyAlignment="1">
      <alignment horizontal="center" vertical="justify"/>
    </xf>
    <xf numFmtId="166" fontId="7" fillId="3" borderId="0" xfId="0" applyNumberFormat="1" applyFont="1" applyFill="1" applyAlignment="1">
      <alignment horizontal="center" vertical="center"/>
    </xf>
    <xf numFmtId="0" fontId="0" fillId="3" borderId="0" xfId="0" applyFill="1" applyAlignment="1">
      <alignment wrapText="1"/>
    </xf>
    <xf numFmtId="166" fontId="2" fillId="3" borderId="0" xfId="0" applyNumberFormat="1" applyFont="1" applyFill="1"/>
    <xf numFmtId="166" fontId="0" fillId="3" borderId="0" xfId="0" applyNumberFormat="1" applyFill="1" applyAlignment="1">
      <alignment horizontal="left" vertical="justify"/>
    </xf>
    <xf numFmtId="166" fontId="0" fillId="3" borderId="0" xfId="0" applyNumberFormat="1" applyFill="1" applyAlignment="1">
      <alignment horizontal="center" vertical="justify"/>
    </xf>
    <xf numFmtId="0" fontId="17" fillId="3" borderId="0" xfId="0" applyFont="1" applyFill="1" applyAlignment="1">
      <alignment vertical="top" wrapText="1"/>
    </xf>
    <xf numFmtId="0" fontId="7" fillId="3" borderId="0" xfId="0" applyFont="1" applyFill="1" applyAlignment="1">
      <alignment vertical="center"/>
    </xf>
    <xf numFmtId="166" fontId="7" fillId="3" borderId="0" xfId="0" applyNumberFormat="1" applyFont="1" applyFill="1"/>
    <xf numFmtId="10" fontId="7" fillId="3" borderId="0" xfId="412" applyNumberFormat="1" applyFont="1" applyFill="1" applyBorder="1" applyProtection="1"/>
    <xf numFmtId="0" fontId="7" fillId="5" borderId="18" xfId="0" applyFont="1" applyFill="1" applyBorder="1" applyAlignment="1">
      <alignment horizontal="left" vertical="center" wrapText="1"/>
    </xf>
    <xf numFmtId="0" fontId="7" fillId="5" borderId="19" xfId="0" applyFont="1" applyFill="1" applyBorder="1" applyAlignment="1">
      <alignment horizontal="left" vertical="center" wrapText="1"/>
    </xf>
    <xf numFmtId="0" fontId="18" fillId="3" borderId="0" xfId="0" applyFont="1" applyFill="1"/>
    <xf numFmtId="0" fontId="17" fillId="3" borderId="0" xfId="0" applyFont="1" applyFill="1"/>
    <xf numFmtId="0" fontId="17" fillId="3" borderId="0" xfId="0" applyFont="1" applyFill="1" applyAlignment="1">
      <alignment horizontal="center"/>
    </xf>
    <xf numFmtId="0" fontId="17" fillId="3" borderId="10" xfId="0" applyFont="1" applyFill="1" applyBorder="1"/>
    <xf numFmtId="0" fontId="17" fillId="3" borderId="11" xfId="0" applyFont="1" applyFill="1" applyBorder="1"/>
    <xf numFmtId="0" fontId="17" fillId="3" borderId="12" xfId="0" applyFont="1" applyFill="1" applyBorder="1"/>
    <xf numFmtId="0" fontId="17" fillId="3" borderId="15" xfId="0" applyFont="1" applyFill="1" applyBorder="1"/>
    <xf numFmtId="0" fontId="17" fillId="3" borderId="16" xfId="0" applyFont="1" applyFill="1" applyBorder="1"/>
    <xf numFmtId="0" fontId="17" fillId="3" borderId="16" xfId="0" applyFont="1" applyFill="1" applyBorder="1" applyAlignment="1">
      <alignment horizontal="right"/>
    </xf>
    <xf numFmtId="0" fontId="17" fillId="3" borderId="17" xfId="0" applyFont="1" applyFill="1" applyBorder="1"/>
    <xf numFmtId="0" fontId="17" fillId="3" borderId="14" xfId="0" applyFont="1" applyFill="1" applyBorder="1"/>
    <xf numFmtId="166" fontId="17" fillId="3" borderId="16" xfId="0" applyNumberFormat="1" applyFont="1" applyFill="1" applyBorder="1"/>
    <xf numFmtId="166" fontId="7" fillId="3" borderId="0" xfId="0" applyNumberFormat="1" applyFont="1" applyFill="1" applyAlignment="1">
      <alignment horizontal="right" vertical="center"/>
    </xf>
    <xf numFmtId="164" fontId="17" fillId="2" borderId="16" xfId="0" applyNumberFormat="1" applyFont="1" applyFill="1" applyBorder="1" applyProtection="1">
      <protection locked="0"/>
    </xf>
    <xf numFmtId="0" fontId="17" fillId="3" borderId="0" xfId="0" applyFont="1" applyFill="1" applyAlignment="1">
      <alignment vertical="top"/>
    </xf>
    <xf numFmtId="0" fontId="13" fillId="3" borderId="0" xfId="0" applyFont="1" applyFill="1" applyAlignment="1">
      <alignment horizontal="center"/>
    </xf>
    <xf numFmtId="170" fontId="7" fillId="3" borderId="0" xfId="0" applyNumberFormat="1" applyFont="1" applyFill="1"/>
    <xf numFmtId="9" fontId="7" fillId="3" borderId="0" xfId="412" applyFont="1" applyFill="1" applyBorder="1" applyProtection="1"/>
    <xf numFmtId="0" fontId="18" fillId="3" borderId="0" xfId="0" applyFont="1" applyFill="1" applyAlignment="1">
      <alignment vertical="top" wrapText="1"/>
    </xf>
    <xf numFmtId="0" fontId="17" fillId="3" borderId="0" xfId="0" applyFont="1" applyFill="1" applyAlignment="1">
      <alignment horizontal="center"/>
    </xf>
    <xf numFmtId="0" fontId="17" fillId="5" borderId="14" xfId="0" applyFont="1" applyFill="1" applyBorder="1" applyAlignment="1">
      <alignment wrapText="1"/>
    </xf>
    <xf numFmtId="0" fontId="17" fillId="5" borderId="13" xfId="0" applyFont="1" applyFill="1" applyBorder="1" applyAlignment="1">
      <alignment wrapText="1"/>
    </xf>
    <xf numFmtId="0" fontId="17" fillId="3" borderId="11" xfId="0" applyFont="1" applyFill="1" applyBorder="1" applyAlignment="1">
      <alignment horizontal="right"/>
    </xf>
    <xf numFmtId="0" fontId="7" fillId="3" borderId="0" xfId="0" applyFont="1" applyFill="1" applyAlignment="1">
      <alignment vertical="center" wrapText="1"/>
    </xf>
    <xf numFmtId="0" fontId="7" fillId="2" borderId="1" xfId="0" applyFont="1" applyFill="1" applyBorder="1" applyAlignment="1" applyProtection="1">
      <alignment horizontal="center" vertical="justify"/>
      <protection locked="0"/>
    </xf>
    <xf numFmtId="0" fontId="15" fillId="2" borderId="1" xfId="257" applyFont="1" applyFill="1" applyBorder="1" applyAlignment="1" applyProtection="1">
      <alignment horizontal="center" vertical="justify"/>
      <protection locked="0"/>
    </xf>
    <xf numFmtId="167" fontId="7" fillId="2" borderId="1" xfId="0" applyNumberFormat="1" applyFont="1" applyFill="1" applyBorder="1" applyAlignment="1" applyProtection="1">
      <alignment horizontal="center" vertical="justify"/>
      <protection locked="0"/>
    </xf>
    <xf numFmtId="2" fontId="7" fillId="2" borderId="1" xfId="0" applyNumberFormat="1" applyFont="1" applyFill="1" applyBorder="1" applyAlignment="1" applyProtection="1">
      <alignment horizontal="right" vertical="justify"/>
      <protection locked="0"/>
    </xf>
    <xf numFmtId="2" fontId="7" fillId="2" borderId="1" xfId="0" applyNumberFormat="1" applyFont="1" applyFill="1" applyBorder="1" applyAlignment="1" applyProtection="1">
      <alignment horizontal="right" vertical="center"/>
      <protection locked="0"/>
    </xf>
    <xf numFmtId="0" fontId="0" fillId="3" borderId="0" xfId="0" applyFill="1" applyAlignment="1">
      <alignment vertical="top" wrapText="1"/>
    </xf>
    <xf numFmtId="0" fontId="17" fillId="5" borderId="0" xfId="0" applyFont="1" applyFill="1" applyBorder="1" applyAlignment="1">
      <alignment wrapText="1"/>
    </xf>
    <xf numFmtId="0" fontId="17" fillId="5" borderId="0" xfId="0" applyFont="1" applyFill="1" applyBorder="1" applyAlignment="1">
      <alignment horizontal="center" wrapText="1"/>
    </xf>
    <xf numFmtId="166" fontId="17" fillId="5" borderId="0" xfId="0" applyNumberFormat="1" applyFont="1" applyFill="1" applyBorder="1"/>
    <xf numFmtId="0" fontId="17" fillId="3" borderId="0" xfId="0" applyFont="1" applyFill="1" applyBorder="1" applyAlignment="1"/>
    <xf numFmtId="0" fontId="17" fillId="3" borderId="0" xfId="0" applyFont="1" applyFill="1" applyBorder="1" applyAlignment="1">
      <alignment wrapText="1"/>
    </xf>
    <xf numFmtId="166" fontId="18" fillId="3" borderId="0" xfId="0" applyNumberFormat="1" applyFont="1" applyFill="1" applyBorder="1" applyAlignment="1">
      <alignment horizontal="right"/>
    </xf>
    <xf numFmtId="0" fontId="17" fillId="3" borderId="0" xfId="0" applyFont="1" applyFill="1" applyBorder="1"/>
    <xf numFmtId="0" fontId="17" fillId="5" borderId="14" xfId="0" applyFont="1" applyFill="1" applyBorder="1" applyAlignment="1">
      <alignment horizontal="center" wrapText="1"/>
    </xf>
    <xf numFmtId="0" fontId="17" fillId="5" borderId="14" xfId="0" applyFont="1" applyFill="1" applyBorder="1" applyAlignment="1">
      <alignment horizontal="center"/>
    </xf>
    <xf numFmtId="166" fontId="17" fillId="5" borderId="16" xfId="0" applyNumberFormat="1" applyFont="1" applyFill="1" applyBorder="1"/>
    <xf numFmtId="0" fontId="17" fillId="5" borderId="17" xfId="0" applyFont="1" applyFill="1" applyBorder="1" applyAlignment="1">
      <alignment horizontal="center"/>
    </xf>
    <xf numFmtId="0" fontId="0" fillId="3" borderId="0" xfId="0" applyFill="1" applyAlignment="1">
      <alignment vertical="top"/>
    </xf>
    <xf numFmtId="0" fontId="0" fillId="5" borderId="13" xfId="0" applyFill="1" applyBorder="1" applyAlignment="1">
      <alignment wrapText="1"/>
    </xf>
    <xf numFmtId="0" fontId="0" fillId="5" borderId="14" xfId="0" applyFill="1" applyBorder="1" applyAlignment="1">
      <alignment wrapText="1"/>
    </xf>
    <xf numFmtId="0" fontId="7" fillId="3" borderId="0" xfId="0" applyFont="1" applyFill="1" applyAlignment="1">
      <alignment vertical="top" wrapText="1"/>
    </xf>
    <xf numFmtId="0" fontId="17" fillId="0" borderId="0" xfId="0" applyFont="1" applyAlignment="1">
      <alignment vertical="top" wrapText="1"/>
    </xf>
    <xf numFmtId="0" fontId="0" fillId="0" borderId="0" xfId="0" applyAlignment="1">
      <alignment vertical="top" wrapText="1"/>
    </xf>
    <xf numFmtId="0" fontId="18" fillId="5" borderId="10" xfId="0" applyFont="1" applyFill="1" applyBorder="1" applyAlignment="1">
      <alignment vertical="top" wrapText="1"/>
    </xf>
    <xf numFmtId="0" fontId="12" fillId="5" borderId="11" xfId="0" applyFont="1" applyFill="1" applyBorder="1" applyAlignment="1">
      <alignment vertical="top" wrapText="1"/>
    </xf>
    <xf numFmtId="0" fontId="12" fillId="5" borderId="12" xfId="0" applyFont="1" applyFill="1" applyBorder="1" applyAlignment="1">
      <alignment vertical="top" wrapText="1"/>
    </xf>
    <xf numFmtId="0" fontId="12" fillId="5" borderId="13" xfId="0" applyFont="1" applyFill="1" applyBorder="1" applyAlignment="1">
      <alignment vertical="top" wrapText="1"/>
    </xf>
    <xf numFmtId="0" fontId="12" fillId="5" borderId="0" xfId="0" applyFont="1" applyFill="1" applyBorder="1" applyAlignment="1">
      <alignment vertical="top" wrapText="1"/>
    </xf>
    <xf numFmtId="0" fontId="12" fillId="5" borderId="14" xfId="0" applyFont="1" applyFill="1" applyBorder="1" applyAlignment="1">
      <alignment vertical="top" wrapText="1"/>
    </xf>
    <xf numFmtId="0" fontId="12" fillId="5" borderId="15" xfId="0" applyFont="1" applyFill="1" applyBorder="1" applyAlignment="1">
      <alignment vertical="top" wrapText="1"/>
    </xf>
    <xf numFmtId="0" fontId="12" fillId="5" borderId="16" xfId="0" applyFont="1" applyFill="1" applyBorder="1" applyAlignment="1">
      <alignment vertical="top" wrapText="1"/>
    </xf>
    <xf numFmtId="0" fontId="12" fillId="5" borderId="17" xfId="0" applyFont="1" applyFill="1" applyBorder="1" applyAlignment="1">
      <alignment vertical="top" wrapText="1"/>
    </xf>
    <xf numFmtId="0" fontId="0" fillId="0" borderId="0" xfId="0" applyAlignment="1">
      <alignment wrapText="1"/>
    </xf>
    <xf numFmtId="0" fontId="19" fillId="3" borderId="0" xfId="0" applyFont="1" applyFill="1" applyAlignment="1">
      <alignment vertical="top" wrapText="1"/>
    </xf>
    <xf numFmtId="0" fontId="18" fillId="0" borderId="0" xfId="0" applyFont="1" applyAlignment="1">
      <alignment vertical="top" wrapText="1"/>
    </xf>
    <xf numFmtId="0" fontId="17" fillId="3" borderId="0" xfId="0" applyFont="1" applyFill="1" applyAlignment="1">
      <alignment vertical="top" wrapText="1"/>
    </xf>
    <xf numFmtId="0" fontId="0" fillId="0" borderId="0" xfId="0" applyAlignment="1">
      <alignment horizontal="center"/>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13" fillId="5" borderId="10" xfId="0" applyFont="1" applyFill="1" applyBorder="1" applyAlignment="1">
      <alignment wrapText="1"/>
    </xf>
    <xf numFmtId="0" fontId="0" fillId="5" borderId="11" xfId="0" applyFill="1" applyBorder="1" applyAlignment="1">
      <alignment wrapText="1"/>
    </xf>
    <xf numFmtId="0" fontId="0" fillId="5" borderId="12" xfId="0" applyFill="1" applyBorder="1" applyAlignment="1">
      <alignment wrapText="1"/>
    </xf>
    <xf numFmtId="0" fontId="0" fillId="5" borderId="13" xfId="0" applyFill="1" applyBorder="1" applyAlignment="1">
      <alignment wrapText="1"/>
    </xf>
    <xf numFmtId="0" fontId="0" fillId="5" borderId="14" xfId="0" applyFill="1" applyBorder="1" applyAlignment="1">
      <alignment wrapText="1"/>
    </xf>
    <xf numFmtId="0" fontId="17" fillId="5" borderId="13" xfId="0" applyFont="1" applyFill="1" applyBorder="1" applyAlignment="1">
      <alignment wrapText="1"/>
    </xf>
    <xf numFmtId="164" fontId="17" fillId="3" borderId="11" xfId="0" applyNumberFormat="1" applyFont="1" applyFill="1" applyBorder="1" applyAlignment="1">
      <alignment vertical="center" wrapText="1"/>
    </xf>
    <xf numFmtId="0" fontId="17" fillId="3" borderId="12" xfId="0" applyFont="1" applyFill="1" applyBorder="1" applyAlignment="1">
      <alignment vertical="center" wrapText="1"/>
    </xf>
    <xf numFmtId="0" fontId="17" fillId="3" borderId="11" xfId="0" applyFont="1" applyFill="1" applyBorder="1" applyAlignment="1">
      <alignment horizontal="right" wrapText="1"/>
    </xf>
    <xf numFmtId="0" fontId="17" fillId="0" borderId="11" xfId="0" applyFont="1" applyBorder="1" applyAlignment="1">
      <alignment wrapText="1"/>
    </xf>
    <xf numFmtId="0" fontId="17" fillId="3" borderId="11" xfId="0" applyFont="1" applyFill="1" applyBorder="1" applyAlignment="1">
      <alignment horizontal="left" vertical="top" wrapText="1"/>
    </xf>
    <xf numFmtId="0" fontId="17" fillId="3" borderId="11" xfId="0" applyFont="1" applyFill="1" applyBorder="1" applyAlignment="1">
      <alignment vertical="top" wrapText="1"/>
    </xf>
    <xf numFmtId="0" fontId="17" fillId="3" borderId="11" xfId="0" applyFont="1" applyFill="1" applyBorder="1" applyAlignment="1">
      <alignment vertical="center" wrapText="1"/>
    </xf>
    <xf numFmtId="0" fontId="17" fillId="3" borderId="11" xfId="0" applyFont="1" applyFill="1" applyBorder="1" applyAlignment="1">
      <alignment horizontal="right"/>
    </xf>
    <xf numFmtId="0" fontId="17" fillId="0" borderId="11" xfId="0" applyFont="1" applyBorder="1"/>
    <xf numFmtId="0" fontId="2" fillId="3" borderId="1" xfId="0" applyFont="1" applyFill="1" applyBorder="1" applyAlignment="1">
      <alignment horizontal="center" vertical="justify"/>
    </xf>
    <xf numFmtId="0" fontId="0" fillId="3" borderId="1" xfId="0" applyFill="1" applyBorder="1" applyAlignment="1">
      <alignment horizontal="center" vertical="justify"/>
    </xf>
    <xf numFmtId="0" fontId="2" fillId="3" borderId="0" xfId="0" applyFont="1" applyFill="1" applyAlignment="1">
      <alignment horizontal="center"/>
    </xf>
    <xf numFmtId="166" fontId="2" fillId="4" borderId="0" xfId="0" applyNumberFormat="1" applyFont="1" applyFill="1" applyAlignment="1">
      <alignment horizontal="left" vertical="justify" wrapText="1"/>
    </xf>
    <xf numFmtId="0" fontId="0" fillId="0" borderId="0" xfId="0" applyAlignment="1">
      <alignment vertical="justify" wrapText="1"/>
    </xf>
    <xf numFmtId="166" fontId="2" fillId="4" borderId="0" xfId="0" applyNumberFormat="1" applyFont="1" applyFill="1" applyAlignment="1">
      <alignment horizontal="left" vertical="justify"/>
    </xf>
    <xf numFmtId="0" fontId="0" fillId="4" borderId="0" xfId="0" applyFill="1" applyAlignment="1">
      <alignment horizontal="left" vertical="justify"/>
    </xf>
    <xf numFmtId="0" fontId="2" fillId="3" borderId="2" xfId="0" applyFont="1" applyFill="1" applyBorder="1" applyAlignment="1">
      <alignment horizontal="center"/>
    </xf>
    <xf numFmtId="0" fontId="3" fillId="3" borderId="3" xfId="0" applyFont="1" applyFill="1" applyBorder="1"/>
    <xf numFmtId="0" fontId="3" fillId="3" borderId="8" xfId="0" applyFont="1" applyFill="1" applyBorder="1"/>
    <xf numFmtId="0" fontId="2" fillId="3" borderId="0" xfId="0" applyFont="1" applyFill="1" applyAlignment="1">
      <alignment vertical="top" wrapText="1"/>
    </xf>
    <xf numFmtId="0" fontId="2" fillId="3" borderId="0" xfId="0" applyFont="1" applyFill="1" applyAlignment="1">
      <alignment horizontal="center" vertical="justify"/>
    </xf>
    <xf numFmtId="0" fontId="0" fillId="3" borderId="0" xfId="0" applyFill="1"/>
    <xf numFmtId="9" fontId="21" fillId="6" borderId="0" xfId="412" applyFont="1" applyFill="1" applyBorder="1" applyProtection="1"/>
    <xf numFmtId="0" fontId="21" fillId="6" borderId="0" xfId="0" applyFont="1" applyFill="1"/>
    <xf numFmtId="0" fontId="20" fillId="6" borderId="0" xfId="0" applyFont="1" applyFill="1"/>
    <xf numFmtId="10" fontId="21" fillId="6" borderId="0" xfId="412" applyNumberFormat="1" applyFont="1" applyFill="1" applyBorder="1" applyProtection="1"/>
    <xf numFmtId="166" fontId="7" fillId="7" borderId="0" xfId="0" applyNumberFormat="1" applyFont="1" applyFill="1" applyAlignment="1" applyProtection="1">
      <alignment horizontal="right"/>
      <protection locked="0"/>
    </xf>
    <xf numFmtId="0" fontId="0" fillId="5" borderId="0" xfId="0" applyFill="1" applyBorder="1" applyAlignment="1">
      <alignment wrapText="1"/>
    </xf>
    <xf numFmtId="0" fontId="0" fillId="3" borderId="0" xfId="0" applyFont="1" applyFill="1" applyBorder="1" applyAlignment="1">
      <alignment vertical="top" wrapText="1"/>
    </xf>
    <xf numFmtId="0" fontId="0" fillId="3" borderId="0" xfId="0" applyFill="1" applyBorder="1" applyAlignment="1">
      <alignment wrapText="1"/>
    </xf>
    <xf numFmtId="0" fontId="17" fillId="3" borderId="0" xfId="0" applyFont="1" applyFill="1" applyBorder="1" applyAlignment="1">
      <alignment horizontal="center" wrapText="1"/>
    </xf>
    <xf numFmtId="0" fontId="17" fillId="3" borderId="0" xfId="0" applyFont="1" applyFill="1" applyBorder="1" applyAlignment="1">
      <alignment horizontal="center"/>
    </xf>
    <xf numFmtId="0" fontId="17" fillId="3" borderId="16" xfId="0" applyFont="1" applyFill="1" applyBorder="1" applyAlignment="1">
      <alignment horizontal="left" wrapText="1"/>
    </xf>
    <xf numFmtId="0" fontId="17" fillId="3" borderId="0" xfId="0" applyFont="1" applyFill="1" applyBorder="1" applyAlignment="1">
      <alignment vertical="center" wrapText="1"/>
    </xf>
    <xf numFmtId="0" fontId="17" fillId="3" borderId="16" xfId="0" applyFont="1" applyFill="1" applyBorder="1" applyAlignment="1">
      <alignment vertical="center" wrapText="1"/>
    </xf>
    <xf numFmtId="0" fontId="17" fillId="3" borderId="0" xfId="0" applyFont="1" applyFill="1" applyBorder="1" applyAlignment="1">
      <alignment vertical="top" wrapText="1"/>
    </xf>
    <xf numFmtId="0" fontId="17" fillId="3" borderId="16" xfId="0" applyFont="1" applyFill="1" applyBorder="1" applyAlignment="1">
      <alignment vertical="top" wrapText="1"/>
    </xf>
    <xf numFmtId="0" fontId="17" fillId="3" borderId="12"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4" xfId="0" applyFont="1" applyFill="1" applyBorder="1" applyAlignment="1">
      <alignment horizontal="left" vertical="top" wrapText="1"/>
    </xf>
    <xf numFmtId="0" fontId="17" fillId="3" borderId="16" xfId="0" applyFont="1" applyFill="1" applyBorder="1" applyAlignment="1">
      <alignment horizontal="left" vertical="top" wrapText="1"/>
    </xf>
    <xf numFmtId="0" fontId="17" fillId="3" borderId="17" xfId="0" applyFont="1" applyFill="1" applyBorder="1" applyAlignment="1">
      <alignment horizontal="left" vertical="top" wrapText="1"/>
    </xf>
    <xf numFmtId="0" fontId="17" fillId="3" borderId="17" xfId="0" applyFont="1" applyFill="1" applyBorder="1" applyAlignment="1">
      <alignment vertical="center" wrapText="1"/>
    </xf>
    <xf numFmtId="164" fontId="17" fillId="3" borderId="16" xfId="0" applyNumberFormat="1" applyFont="1" applyFill="1" applyBorder="1" applyAlignment="1">
      <alignment vertical="center" wrapText="1"/>
    </xf>
    <xf numFmtId="1" fontId="17" fillId="3" borderId="11" xfId="0" applyNumberFormat="1" applyFont="1" applyFill="1" applyBorder="1" applyProtection="1"/>
    <xf numFmtId="0" fontId="7" fillId="3" borderId="10" xfId="0" applyFont="1" applyFill="1" applyBorder="1" applyAlignment="1">
      <alignment horizontal="center"/>
    </xf>
    <xf numFmtId="0" fontId="0" fillId="0" borderId="12" xfId="0" applyBorder="1" applyAlignment="1">
      <alignment horizontal="center"/>
    </xf>
    <xf numFmtId="0" fontId="17" fillId="3" borderId="13" xfId="0" applyFont="1" applyFill="1" applyBorder="1" applyAlignment="1">
      <alignment horizontal="center"/>
    </xf>
    <xf numFmtId="0" fontId="17" fillId="3" borderId="14" xfId="0" applyFont="1" applyFill="1" applyBorder="1" applyAlignment="1">
      <alignment horizontal="center"/>
    </xf>
    <xf numFmtId="166" fontId="17" fillId="3" borderId="13" xfId="0" applyNumberFormat="1" applyFont="1" applyFill="1" applyBorder="1" applyAlignment="1">
      <alignment horizontal="right"/>
    </xf>
    <xf numFmtId="166" fontId="17" fillId="3" borderId="14" xfId="0" applyNumberFormat="1" applyFont="1" applyFill="1" applyBorder="1" applyAlignment="1">
      <alignment horizontal="right"/>
    </xf>
    <xf numFmtId="166" fontId="7" fillId="3" borderId="13" xfId="0" applyNumberFormat="1" applyFont="1" applyFill="1" applyBorder="1" applyAlignment="1">
      <alignment horizontal="right"/>
    </xf>
    <xf numFmtId="166" fontId="7" fillId="3" borderId="14" xfId="0" applyNumberFormat="1" applyFont="1" applyFill="1" applyBorder="1" applyAlignment="1">
      <alignment horizontal="right"/>
    </xf>
    <xf numFmtId="166" fontId="17" fillId="3" borderId="0" xfId="0" applyNumberFormat="1" applyFont="1" applyFill="1" applyAlignment="1">
      <alignment horizontal="left"/>
    </xf>
    <xf numFmtId="166" fontId="17" fillId="3" borderId="0" xfId="0" applyNumberFormat="1" applyFont="1" applyFill="1" applyBorder="1" applyAlignment="1">
      <alignment horizontal="right"/>
    </xf>
    <xf numFmtId="166" fontId="7" fillId="3" borderId="0" xfId="0" applyNumberFormat="1" applyFont="1" applyFill="1" applyBorder="1" applyAlignment="1">
      <alignment horizontal="right"/>
    </xf>
    <xf numFmtId="166" fontId="17" fillId="2" borderId="13" xfId="0" applyNumberFormat="1" applyFont="1" applyFill="1" applyBorder="1" applyAlignment="1" applyProtection="1">
      <alignment horizontal="right"/>
      <protection locked="0"/>
    </xf>
    <xf numFmtId="166" fontId="17" fillId="3" borderId="14" xfId="0" applyNumberFormat="1" applyFont="1" applyFill="1" applyBorder="1" applyAlignment="1" applyProtection="1">
      <alignment horizontal="right"/>
    </xf>
    <xf numFmtId="166" fontId="17" fillId="3" borderId="13" xfId="0" applyNumberFormat="1" applyFont="1" applyFill="1" applyBorder="1" applyAlignment="1" applyProtection="1">
      <alignment horizontal="right"/>
    </xf>
    <xf numFmtId="166" fontId="17" fillId="2" borderId="14" xfId="0" applyNumberFormat="1" applyFont="1" applyFill="1" applyBorder="1" applyAlignment="1" applyProtection="1">
      <alignment horizontal="right"/>
      <protection locked="0"/>
    </xf>
    <xf numFmtId="166" fontId="17" fillId="3" borderId="15" xfId="0" applyNumberFormat="1" applyFont="1" applyFill="1" applyBorder="1" applyAlignment="1" applyProtection="1">
      <alignment horizontal="right"/>
    </xf>
    <xf numFmtId="166" fontId="17" fillId="2" borderId="17" xfId="0" applyNumberFormat="1" applyFont="1" applyFill="1" applyBorder="1" applyAlignment="1" applyProtection="1">
      <alignment horizontal="right"/>
      <protection locked="0"/>
    </xf>
    <xf numFmtId="0" fontId="7" fillId="3" borderId="10" xfId="0" applyFont="1" applyFill="1" applyBorder="1"/>
    <xf numFmtId="0" fontId="7" fillId="3" borderId="11" xfId="0" applyFont="1" applyFill="1" applyBorder="1" applyAlignment="1">
      <alignment horizontal="center" vertical="center" wrapText="1"/>
    </xf>
    <xf numFmtId="2" fontId="7" fillId="3" borderId="12" xfId="0" applyNumberFormat="1" applyFont="1" applyFill="1" applyBorder="1" applyAlignment="1">
      <alignment horizontal="right" vertical="justify"/>
    </xf>
    <xf numFmtId="0" fontId="7" fillId="3" borderId="13" xfId="0" applyFont="1" applyFill="1" applyBorder="1" applyAlignment="1">
      <alignment horizontal="center"/>
    </xf>
    <xf numFmtId="0" fontId="7" fillId="3" borderId="0" xfId="0" applyFont="1" applyFill="1" applyBorder="1" applyAlignment="1">
      <alignment horizontal="center" vertical="center" wrapText="1"/>
    </xf>
    <xf numFmtId="0" fontId="7" fillId="3" borderId="13" xfId="0" applyFont="1" applyFill="1" applyBorder="1"/>
    <xf numFmtId="0" fontId="7" fillId="3" borderId="15" xfId="0" applyFont="1" applyFill="1" applyBorder="1"/>
    <xf numFmtId="0" fontId="7" fillId="3" borderId="16" xfId="0" applyFont="1" applyFill="1" applyBorder="1" applyAlignment="1">
      <alignment horizontal="center" vertical="center" wrapText="1"/>
    </xf>
    <xf numFmtId="0" fontId="21" fillId="8" borderId="10" xfId="0" applyFont="1" applyFill="1" applyBorder="1" applyAlignment="1">
      <alignment horizontal="center"/>
    </xf>
    <xf numFmtId="0" fontId="21" fillId="8" borderId="13" xfId="0" applyFont="1" applyFill="1" applyBorder="1" applyAlignment="1">
      <alignment horizontal="center"/>
    </xf>
    <xf numFmtId="0" fontId="21" fillId="8" borderId="0" xfId="0" applyFont="1" applyFill="1" applyBorder="1" applyAlignment="1">
      <alignment horizontal="center"/>
    </xf>
    <xf numFmtId="0" fontId="21" fillId="8" borderId="14" xfId="0" applyFont="1" applyFill="1" applyBorder="1"/>
    <xf numFmtId="166" fontId="21" fillId="8" borderId="13" xfId="0" applyNumberFormat="1" applyFont="1" applyFill="1" applyBorder="1" applyAlignment="1">
      <alignment horizontal="right"/>
    </xf>
    <xf numFmtId="166" fontId="21" fillId="8" borderId="0" xfId="0" applyNumberFormat="1" applyFont="1" applyFill="1" applyBorder="1" applyAlignment="1">
      <alignment horizontal="right"/>
    </xf>
    <xf numFmtId="166" fontId="21" fillId="8" borderId="14" xfId="0" applyNumberFormat="1" applyFont="1" applyFill="1" applyBorder="1" applyAlignment="1">
      <alignment horizontal="left"/>
    </xf>
    <xf numFmtId="166" fontId="21" fillId="8" borderId="15" xfId="0" applyNumberFormat="1" applyFont="1" applyFill="1" applyBorder="1" applyAlignment="1">
      <alignment horizontal="right"/>
    </xf>
    <xf numFmtId="166" fontId="21" fillId="8" borderId="16" xfId="0" applyNumberFormat="1" applyFont="1" applyFill="1" applyBorder="1" applyAlignment="1">
      <alignment horizontal="right"/>
    </xf>
    <xf numFmtId="166" fontId="21" fillId="8" borderId="17" xfId="0" applyNumberFormat="1" applyFont="1" applyFill="1" applyBorder="1" applyAlignment="1">
      <alignment horizontal="left"/>
    </xf>
    <xf numFmtId="0" fontId="17" fillId="3" borderId="11" xfId="0" applyFont="1" applyFill="1" applyBorder="1" applyAlignment="1">
      <alignment horizontal="center"/>
    </xf>
    <xf numFmtId="0" fontId="17" fillId="3" borderId="12" xfId="0" applyFont="1" applyFill="1" applyBorder="1" applyAlignment="1">
      <alignment horizontal="center"/>
    </xf>
    <xf numFmtId="166" fontId="17" fillId="3" borderId="0" xfId="0" applyNumberFormat="1" applyFont="1" applyFill="1" applyBorder="1"/>
    <xf numFmtId="0" fontId="17" fillId="3" borderId="21" xfId="0" applyFont="1" applyFill="1" applyBorder="1" applyAlignment="1">
      <alignment horizontal="center"/>
    </xf>
    <xf numFmtId="0" fontId="17" fillId="0" borderId="0" xfId="0" applyFont="1" applyBorder="1" applyAlignment="1">
      <alignment wrapText="1"/>
    </xf>
    <xf numFmtId="164" fontId="17" fillId="0" borderId="0" xfId="0" applyNumberFormat="1" applyFont="1" applyBorder="1" applyAlignment="1">
      <alignment vertical="center" wrapText="1"/>
    </xf>
    <xf numFmtId="0" fontId="17" fillId="0" borderId="14" xfId="0" applyFont="1" applyBorder="1" applyAlignment="1">
      <alignment vertical="center" wrapText="1"/>
    </xf>
    <xf numFmtId="0" fontId="17" fillId="3" borderId="0" xfId="0" applyFont="1" applyFill="1" applyBorder="1" applyAlignment="1">
      <alignment horizontal="left" wrapText="1"/>
    </xf>
    <xf numFmtId="164" fontId="17" fillId="3" borderId="0" xfId="0" applyNumberFormat="1" applyFont="1" applyFill="1" applyBorder="1" applyAlignment="1">
      <alignment vertical="center" wrapText="1"/>
    </xf>
    <xf numFmtId="0" fontId="17" fillId="3" borderId="14" xfId="0" applyFont="1" applyFill="1" applyBorder="1" applyAlignment="1">
      <alignment vertical="center" wrapText="1"/>
    </xf>
    <xf numFmtId="164" fontId="17" fillId="3" borderId="0" xfId="0" applyNumberFormat="1" applyFont="1" applyFill="1" applyBorder="1" applyAlignment="1">
      <alignment horizontal="center"/>
    </xf>
    <xf numFmtId="164" fontId="17" fillId="3" borderId="16" xfId="0" applyNumberFormat="1" applyFont="1" applyFill="1" applyBorder="1" applyAlignment="1">
      <alignment horizontal="center"/>
    </xf>
    <xf numFmtId="0" fontId="17" fillId="3" borderId="17" xfId="0" applyFont="1" applyFill="1" applyBorder="1" applyAlignment="1">
      <alignment horizontal="center"/>
    </xf>
    <xf numFmtId="0" fontId="7" fillId="3" borderId="0" xfId="0" applyFont="1" applyFill="1" applyBorder="1" applyAlignment="1">
      <alignment horizontal="right" vertical="center" wrapText="1"/>
    </xf>
    <xf numFmtId="0" fontId="7" fillId="3" borderId="0" xfId="0" applyFont="1" applyFill="1" applyBorder="1" applyAlignment="1">
      <alignment horizontal="center" vertical="center"/>
    </xf>
    <xf numFmtId="0" fontId="7" fillId="3" borderId="16" xfId="0" applyFont="1" applyFill="1" applyBorder="1" applyAlignment="1">
      <alignment horizontal="right" vertical="center" wrapText="1"/>
    </xf>
    <xf numFmtId="0" fontId="7" fillId="3" borderId="0" xfId="0" applyFont="1" applyFill="1" applyBorder="1" applyAlignment="1">
      <alignment horizontal="center"/>
    </xf>
    <xf numFmtId="0" fontId="0" fillId="0" borderId="0" xfId="0" applyBorder="1" applyAlignment="1">
      <alignment horizontal="center"/>
    </xf>
    <xf numFmtId="0" fontId="0" fillId="0" borderId="11" xfId="0" applyBorder="1" applyAlignment="1"/>
    <xf numFmtId="0" fontId="0" fillId="0" borderId="12" xfId="0" applyBorder="1" applyAlignment="1"/>
    <xf numFmtId="0" fontId="0" fillId="3" borderId="0" xfId="0" applyFill="1" applyAlignment="1">
      <alignment vertical="top" wrapText="1"/>
    </xf>
    <xf numFmtId="0" fontId="0" fillId="5" borderId="0" xfId="0" applyFill="1" applyBorder="1" applyAlignment="1">
      <alignment wrapText="1"/>
    </xf>
    <xf numFmtId="0" fontId="17" fillId="5" borderId="18" xfId="0" applyFont="1" applyFill="1" applyBorder="1" applyAlignment="1">
      <alignment horizontal="center" wrapText="1"/>
    </xf>
    <xf numFmtId="0" fontId="0" fillId="0" borderId="8" xfId="0" applyBorder="1" applyAlignment="1">
      <alignment horizontal="center" wrapText="1"/>
    </xf>
    <xf numFmtId="0" fontId="17" fillId="5" borderId="24" xfId="0" applyFont="1" applyFill="1" applyBorder="1" applyAlignment="1">
      <alignment horizontal="center" wrapText="1"/>
    </xf>
    <xf numFmtId="0" fontId="17" fillId="5" borderId="2" xfId="0" applyFont="1" applyFill="1" applyBorder="1" applyAlignment="1">
      <alignment horizontal="right"/>
    </xf>
    <xf numFmtId="10" fontId="17" fillId="5" borderId="23" xfId="0" applyNumberFormat="1" applyFont="1" applyFill="1" applyBorder="1" applyAlignment="1">
      <alignment horizontal="left"/>
    </xf>
    <xf numFmtId="0" fontId="17" fillId="5" borderId="25" xfId="0" applyFont="1" applyFill="1" applyBorder="1" applyAlignment="1">
      <alignment horizontal="right"/>
    </xf>
    <xf numFmtId="10" fontId="17" fillId="5" borderId="26" xfId="0" applyNumberFormat="1" applyFont="1" applyFill="1" applyBorder="1" applyAlignment="1">
      <alignment horizontal="left"/>
    </xf>
    <xf numFmtId="0" fontId="17" fillId="5" borderId="27" xfId="0" applyFont="1" applyFill="1" applyBorder="1" applyAlignment="1">
      <alignment horizontal="right"/>
    </xf>
    <xf numFmtId="10" fontId="17" fillId="5" borderId="28" xfId="0" applyNumberFormat="1" applyFont="1" applyFill="1" applyBorder="1" applyAlignment="1">
      <alignment horizontal="left"/>
    </xf>
    <xf numFmtId="0" fontId="18" fillId="5" borderId="13" xfId="0" applyFont="1" applyFill="1" applyBorder="1" applyAlignment="1">
      <alignment wrapText="1"/>
    </xf>
    <xf numFmtId="0" fontId="12" fillId="5" borderId="0" xfId="0" applyFont="1" applyFill="1" applyBorder="1" applyAlignment="1">
      <alignment wrapText="1"/>
    </xf>
    <xf numFmtId="0" fontId="12" fillId="5" borderId="14" xfId="0" applyFont="1" applyFill="1" applyBorder="1" applyAlignment="1">
      <alignment wrapText="1"/>
    </xf>
    <xf numFmtId="0" fontId="12" fillId="5" borderId="13" xfId="0" applyFont="1" applyFill="1" applyBorder="1" applyAlignment="1">
      <alignment wrapText="1"/>
    </xf>
    <xf numFmtId="0" fontId="7" fillId="3" borderId="20" xfId="0" applyFont="1" applyFill="1" applyBorder="1" applyAlignment="1">
      <alignment horizontal="center" wrapText="1"/>
    </xf>
    <xf numFmtId="0" fontId="0" fillId="0" borderId="21" xfId="0" applyBorder="1" applyAlignment="1">
      <alignment horizontal="center" wrapText="1"/>
    </xf>
    <xf numFmtId="166" fontId="7" fillId="3" borderId="21" xfId="0" applyNumberFormat="1" applyFont="1" applyFill="1" applyBorder="1" applyAlignment="1">
      <alignment horizontal="center"/>
    </xf>
    <xf numFmtId="166" fontId="7" fillId="3" borderId="21" xfId="0" applyNumberFormat="1" applyFont="1" applyFill="1" applyBorder="1" applyAlignment="1">
      <alignment horizontal="center" vertical="center"/>
    </xf>
    <xf numFmtId="166" fontId="7" fillId="3" borderId="22" xfId="0" applyNumberFormat="1" applyFont="1" applyFill="1" applyBorder="1" applyAlignment="1">
      <alignment horizontal="center" vertical="center"/>
    </xf>
    <xf numFmtId="0" fontId="0" fillId="0" borderId="14" xfId="0" applyBorder="1" applyAlignment="1">
      <alignment horizontal="center"/>
    </xf>
    <xf numFmtId="10" fontId="17" fillId="3" borderId="14" xfId="0" applyNumberFormat="1" applyFont="1" applyFill="1" applyBorder="1" applyAlignment="1">
      <alignment horizontal="left"/>
    </xf>
    <xf numFmtId="0" fontId="17" fillId="3" borderId="14" xfId="0" applyFont="1" applyFill="1" applyBorder="1" applyAlignment="1">
      <alignment horizontal="left"/>
    </xf>
    <xf numFmtId="10" fontId="17" fillId="3" borderId="17" xfId="0" applyNumberFormat="1" applyFont="1" applyFill="1" applyBorder="1" applyAlignment="1">
      <alignment horizontal="left"/>
    </xf>
    <xf numFmtId="0" fontId="17" fillId="3" borderId="10"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3" borderId="10"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5" xfId="0" applyFont="1" applyFill="1" applyBorder="1" applyAlignment="1">
      <alignment horizontal="center"/>
    </xf>
    <xf numFmtId="0" fontId="17" fillId="3" borderId="13"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13"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7" fillId="3" borderId="20" xfId="0" applyFont="1" applyFill="1" applyBorder="1" applyAlignment="1">
      <alignment horizontal="center"/>
    </xf>
    <xf numFmtId="3" fontId="7" fillId="3" borderId="13" xfId="0" applyNumberFormat="1" applyFont="1" applyFill="1" applyBorder="1" applyAlignment="1">
      <alignment horizontal="center"/>
    </xf>
    <xf numFmtId="3" fontId="7" fillId="3" borderId="13" xfId="0" applyNumberFormat="1" applyFont="1" applyFill="1" applyBorder="1" applyAlignment="1">
      <alignment horizontal="center" vertical="center"/>
    </xf>
    <xf numFmtId="3" fontId="7" fillId="3" borderId="15" xfId="0" applyNumberFormat="1" applyFont="1" applyFill="1" applyBorder="1" applyAlignment="1">
      <alignment horizontal="center" vertical="center"/>
    </xf>
    <xf numFmtId="0" fontId="13" fillId="5" borderId="13" xfId="0" applyFont="1" applyFill="1"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cellXfs>
  <cellStyles count="6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cellStyle name="Normal" xfId="0" builtinId="0"/>
    <cellStyle name="Percent" xfId="4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117323</xdr:colOff>
      <xdr:row>0</xdr:row>
      <xdr:rowOff>0</xdr:rowOff>
    </xdr:from>
    <xdr:to>
      <xdr:col>6</xdr:col>
      <xdr:colOff>143727</xdr:colOff>
      <xdr:row>5</xdr:row>
      <xdr:rowOff>75184</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424109" y="0"/>
          <a:ext cx="3264904" cy="1073041"/>
        </a:xfrm>
        <a:prstGeom prst="rect">
          <a:avLst/>
        </a:prstGeom>
      </xdr:spPr>
    </xdr:pic>
    <xdr:clientData/>
  </xdr:twoCellAnchor>
  <xdr:twoCellAnchor editAs="oneCell">
    <xdr:from>
      <xdr:col>0</xdr:col>
      <xdr:colOff>42333</xdr:colOff>
      <xdr:row>0</xdr:row>
      <xdr:rowOff>0</xdr:rowOff>
    </xdr:from>
    <xdr:to>
      <xdr:col>3</xdr:col>
      <xdr:colOff>4487</xdr:colOff>
      <xdr:row>4</xdr:row>
      <xdr:rowOff>162560</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42333" y="0"/>
          <a:ext cx="5023104" cy="975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abSelected="1" zoomScale="140" zoomScaleNormal="140" zoomScalePageLayoutView="140" workbookViewId="0">
      <selection activeCell="C28" sqref="C28"/>
    </sheetView>
  </sheetViews>
  <sheetFormatPr baseColWidth="10" defaultColWidth="10.625" defaultRowHeight="16" x14ac:dyDescent="0"/>
  <cols>
    <col min="1" max="1" width="31" style="66" customWidth="1"/>
    <col min="2" max="2" width="3.25" style="66" bestFit="1" customWidth="1"/>
    <col min="3" max="3" width="18" style="66" customWidth="1"/>
    <col min="4" max="16384" width="10.625" style="66"/>
  </cols>
  <sheetData>
    <row r="1" spans="1:9">
      <c r="B1" s="1"/>
      <c r="C1" s="1"/>
      <c r="D1" s="1"/>
      <c r="E1" s="1"/>
      <c r="F1" s="1"/>
      <c r="G1" s="1"/>
    </row>
    <row r="6" spans="1:9">
      <c r="A6" s="67" t="s">
        <v>35</v>
      </c>
    </row>
    <row r="7" spans="1:9">
      <c r="A7" s="68" t="s">
        <v>207</v>
      </c>
    </row>
    <row r="8" spans="1:9">
      <c r="A8" s="1"/>
    </row>
    <row r="9" spans="1:9">
      <c r="A9" s="127" t="s">
        <v>221</v>
      </c>
      <c r="B9" s="128"/>
      <c r="C9" s="128"/>
      <c r="D9" s="128"/>
      <c r="E9" s="1"/>
      <c r="F9" s="1"/>
      <c r="G9" s="1"/>
      <c r="H9" s="1"/>
      <c r="I9" s="1"/>
    </row>
    <row r="10" spans="1:9">
      <c r="A10" s="128"/>
      <c r="B10" s="128"/>
      <c r="C10" s="128"/>
      <c r="D10" s="128"/>
      <c r="E10" s="1"/>
      <c r="F10" s="1"/>
      <c r="G10" s="1"/>
      <c r="H10" s="1"/>
      <c r="I10" s="1"/>
    </row>
    <row r="11" spans="1:9">
      <c r="A11" s="129"/>
      <c r="B11" s="129"/>
      <c r="C11" s="129"/>
      <c r="D11" s="129"/>
      <c r="E11" s="1"/>
      <c r="F11" s="1"/>
      <c r="G11" s="1"/>
      <c r="H11" s="1"/>
      <c r="I11" s="1"/>
    </row>
    <row r="12" spans="1:9">
      <c r="A12" s="43"/>
      <c r="B12" s="43"/>
      <c r="C12" s="43"/>
      <c r="D12" s="43"/>
      <c r="E12" s="1"/>
      <c r="F12" s="1"/>
      <c r="G12" s="1"/>
      <c r="H12" s="1"/>
      <c r="I12" s="1"/>
    </row>
    <row r="13" spans="1:9">
      <c r="A13" s="127" t="s">
        <v>139</v>
      </c>
      <c r="B13" s="128"/>
      <c r="C13" s="128"/>
      <c r="D13" s="128"/>
      <c r="E13" s="1"/>
      <c r="F13" s="1"/>
      <c r="G13" s="1"/>
      <c r="H13" s="1"/>
      <c r="I13" s="1"/>
    </row>
    <row r="14" spans="1:9">
      <c r="A14" s="128"/>
      <c r="B14" s="128"/>
      <c r="C14" s="128"/>
      <c r="D14" s="128"/>
      <c r="E14" s="1"/>
      <c r="F14" s="1"/>
      <c r="G14" s="1"/>
      <c r="H14" s="1"/>
      <c r="I14" s="1"/>
    </row>
    <row r="15" spans="1:9">
      <c r="A15" s="43"/>
      <c r="B15" s="43"/>
      <c r="C15" s="43"/>
      <c r="D15" s="43"/>
      <c r="E15" s="1"/>
      <c r="F15" s="1"/>
      <c r="G15" s="1"/>
      <c r="H15" s="1"/>
      <c r="I15" s="1"/>
    </row>
    <row r="16" spans="1:9">
      <c r="A16" s="127" t="s">
        <v>185</v>
      </c>
      <c r="B16" s="142"/>
      <c r="C16" s="142"/>
      <c r="D16" s="142"/>
      <c r="E16" s="1"/>
      <c r="F16" s="1"/>
      <c r="G16" s="1"/>
      <c r="H16" s="1"/>
      <c r="I16" s="1"/>
    </row>
    <row r="17" spans="1:11">
      <c r="A17" s="142"/>
      <c r="B17" s="142"/>
      <c r="C17" s="142"/>
      <c r="D17" s="142"/>
      <c r="E17" s="1"/>
      <c r="F17" s="1"/>
      <c r="G17" s="1"/>
      <c r="H17" s="1"/>
      <c r="I17" s="1"/>
    </row>
    <row r="18" spans="1:11">
      <c r="A18" s="142"/>
      <c r="B18" s="142"/>
      <c r="C18" s="142"/>
      <c r="D18" s="142"/>
      <c r="E18" s="1"/>
      <c r="F18" s="1"/>
      <c r="G18" s="1"/>
      <c r="H18" s="1"/>
      <c r="I18" s="1"/>
    </row>
    <row r="19" spans="1:11">
      <c r="A19" s="142"/>
      <c r="B19" s="142"/>
      <c r="C19" s="142"/>
      <c r="D19" s="142"/>
      <c r="E19" s="1"/>
      <c r="F19" s="1"/>
      <c r="G19" s="1"/>
      <c r="H19" s="1"/>
      <c r="I19" s="1"/>
    </row>
    <row r="20" spans="1:11">
      <c r="A20" s="140" t="s">
        <v>127</v>
      </c>
      <c r="B20" s="141"/>
      <c r="C20" s="141"/>
      <c r="D20" s="141"/>
      <c r="E20" s="1"/>
      <c r="F20" s="1"/>
      <c r="G20" s="1"/>
      <c r="H20" s="1"/>
      <c r="I20" s="1"/>
    </row>
    <row r="21" spans="1:11">
      <c r="A21" s="141"/>
      <c r="B21" s="141"/>
      <c r="C21" s="141"/>
      <c r="D21" s="141"/>
      <c r="E21" s="1"/>
      <c r="F21" s="1"/>
      <c r="G21" s="1"/>
      <c r="H21" s="1"/>
      <c r="I21" s="1"/>
    </row>
    <row r="22" spans="1:11" ht="17" thickBot="1">
      <c r="A22" s="101"/>
      <c r="B22" s="101"/>
      <c r="C22" s="101"/>
      <c r="D22" s="101"/>
      <c r="E22" s="1"/>
      <c r="F22" s="1"/>
      <c r="G22" s="1"/>
      <c r="H22" s="1"/>
      <c r="I22" s="1"/>
    </row>
    <row r="23" spans="1:11">
      <c r="A23" s="130" t="s">
        <v>186</v>
      </c>
      <c r="B23" s="131"/>
      <c r="C23" s="131"/>
      <c r="D23" s="132"/>
      <c r="E23" s="1"/>
      <c r="F23" s="1"/>
      <c r="G23" s="1"/>
      <c r="H23" s="1"/>
      <c r="I23" s="1"/>
    </row>
    <row r="24" spans="1:11">
      <c r="A24" s="133"/>
      <c r="B24" s="134"/>
      <c r="C24" s="134"/>
      <c r="D24" s="135"/>
      <c r="E24" s="1"/>
      <c r="F24" s="1"/>
      <c r="G24" s="1"/>
      <c r="H24" s="1"/>
      <c r="I24" s="1"/>
    </row>
    <row r="25" spans="1:11" ht="17" thickBot="1">
      <c r="A25" s="136"/>
      <c r="B25" s="137"/>
      <c r="C25" s="137"/>
      <c r="D25" s="138"/>
      <c r="E25" s="1"/>
      <c r="F25" s="1"/>
      <c r="G25" s="1"/>
      <c r="H25" s="1"/>
      <c r="I25" s="1"/>
    </row>
    <row r="26" spans="1:11">
      <c r="A26" s="73"/>
      <c r="B26" s="73"/>
      <c r="C26" s="73"/>
      <c r="D26" s="73"/>
      <c r="E26" s="1"/>
      <c r="F26" s="1"/>
      <c r="G26" s="1"/>
      <c r="H26" s="1"/>
      <c r="I26" s="1"/>
    </row>
    <row r="27" spans="1:11">
      <c r="A27" s="67" t="s">
        <v>188</v>
      </c>
      <c r="B27" s="77"/>
      <c r="C27" s="77"/>
      <c r="D27" s="77"/>
      <c r="E27" s="67" t="s">
        <v>180</v>
      </c>
      <c r="F27" s="1"/>
      <c r="G27" s="1"/>
      <c r="H27" s="1"/>
      <c r="I27" s="1"/>
      <c r="K27" s="67"/>
    </row>
    <row r="28" spans="1:11">
      <c r="A28" s="1" t="s">
        <v>119</v>
      </c>
      <c r="B28" s="1"/>
      <c r="C28" s="107" t="s">
        <v>200</v>
      </c>
      <c r="D28" s="1"/>
      <c r="E28" s="127" t="s">
        <v>220</v>
      </c>
      <c r="F28" s="139"/>
      <c r="G28" s="139"/>
      <c r="H28" s="139"/>
      <c r="I28" s="139"/>
      <c r="J28" s="139"/>
      <c r="K28" s="139"/>
    </row>
    <row r="29" spans="1:11" ht="16" customHeight="1">
      <c r="A29" s="1" t="s">
        <v>120</v>
      </c>
      <c r="B29" s="1"/>
      <c r="C29" s="108" t="s">
        <v>201</v>
      </c>
      <c r="D29" s="1"/>
      <c r="E29" s="139"/>
      <c r="F29" s="139"/>
      <c r="G29" s="139"/>
      <c r="H29" s="139"/>
      <c r="I29" s="139"/>
      <c r="J29" s="139"/>
      <c r="K29" s="139"/>
    </row>
    <row r="30" spans="1:11">
      <c r="A30" s="1" t="s">
        <v>121</v>
      </c>
      <c r="B30" s="1"/>
      <c r="C30" s="109" t="s">
        <v>202</v>
      </c>
      <c r="D30" s="1"/>
      <c r="E30" s="139"/>
      <c r="F30" s="139"/>
      <c r="G30" s="139"/>
      <c r="H30" s="139"/>
      <c r="I30" s="139"/>
      <c r="J30" s="139"/>
      <c r="K30" s="139"/>
    </row>
    <row r="31" spans="1:11">
      <c r="A31" s="2" t="s">
        <v>122</v>
      </c>
      <c r="B31" s="2"/>
      <c r="C31" s="110">
        <v>0</v>
      </c>
      <c r="D31" s="1" t="s">
        <v>156</v>
      </c>
      <c r="E31" s="139"/>
      <c r="F31" s="139"/>
      <c r="G31" s="139"/>
      <c r="H31" s="139"/>
      <c r="I31" s="139"/>
      <c r="J31" s="139"/>
      <c r="K31" s="139"/>
    </row>
    <row r="32" spans="1:11" ht="30">
      <c r="A32" s="106" t="s">
        <v>154</v>
      </c>
      <c r="B32" s="2"/>
      <c r="C32" s="111">
        <v>30</v>
      </c>
      <c r="D32" s="78" t="s">
        <v>155</v>
      </c>
      <c r="E32" s="139"/>
      <c r="F32" s="139"/>
      <c r="G32" s="139"/>
      <c r="H32" s="139"/>
      <c r="I32" s="139"/>
      <c r="J32" s="139"/>
      <c r="K32" s="139"/>
    </row>
    <row r="33" spans="1:12">
      <c r="A33" s="1"/>
      <c r="B33" s="1"/>
      <c r="C33" s="1"/>
      <c r="D33" s="1"/>
      <c r="E33" s="139"/>
      <c r="F33" s="139"/>
      <c r="G33" s="139"/>
      <c r="H33" s="139"/>
      <c r="I33" s="139"/>
      <c r="J33" s="139"/>
      <c r="K33" s="139"/>
    </row>
    <row r="34" spans="1:12">
      <c r="A34" s="3" t="s">
        <v>117</v>
      </c>
      <c r="B34" s="4"/>
      <c r="C34" s="181">
        <v>0</v>
      </c>
      <c r="D34" s="5" t="s">
        <v>118</v>
      </c>
      <c r="E34" s="67" t="s">
        <v>182</v>
      </c>
      <c r="F34" s="1"/>
      <c r="G34" s="1"/>
      <c r="H34" s="1"/>
      <c r="I34" s="1"/>
    </row>
    <row r="35" spans="1:12">
      <c r="A35" s="3" t="s">
        <v>123</v>
      </c>
      <c r="B35" s="4"/>
      <c r="C35" s="181">
        <v>0</v>
      </c>
      <c r="D35" s="6" t="s">
        <v>124</v>
      </c>
      <c r="E35" s="79">
        <f>'ICP Value Comparison'!G85/1000</f>
        <v>0</v>
      </c>
      <c r="F35" s="1"/>
      <c r="G35" s="1"/>
      <c r="H35" s="1"/>
      <c r="I35" s="1"/>
    </row>
    <row r="36" spans="1:12">
      <c r="A36" s="3" t="s">
        <v>125</v>
      </c>
      <c r="B36" s="4"/>
      <c r="C36" s="181">
        <v>0</v>
      </c>
      <c r="D36" s="3" t="s">
        <v>126</v>
      </c>
      <c r="E36" s="98" t="s">
        <v>183</v>
      </c>
      <c r="F36" s="67" t="s">
        <v>181</v>
      </c>
      <c r="G36" s="67" t="s">
        <v>184</v>
      </c>
      <c r="H36" s="1"/>
      <c r="I36" s="1"/>
    </row>
    <row r="37" spans="1:12">
      <c r="A37" s="1" t="s">
        <v>82</v>
      </c>
      <c r="B37" s="7" t="s">
        <v>0</v>
      </c>
      <c r="C37" s="181">
        <v>0</v>
      </c>
      <c r="D37" s="5" t="s">
        <v>138</v>
      </c>
      <c r="E37" s="99">
        <f>'ICP Value Comparison'!G10</f>
        <v>0</v>
      </c>
      <c r="F37" s="180" t="e">
        <f>'ICP Value Comparison'!H10</f>
        <v>#DIV/0!</v>
      </c>
      <c r="G37" s="177" t="s">
        <v>197</v>
      </c>
      <c r="H37" s="178"/>
      <c r="I37" s="178"/>
      <c r="J37" s="179"/>
      <c r="K37" s="179"/>
      <c r="L37" s="179"/>
    </row>
    <row r="38" spans="1:12">
      <c r="A38" s="1" t="s">
        <v>83</v>
      </c>
      <c r="B38" s="7" t="s">
        <v>1</v>
      </c>
      <c r="C38" s="181">
        <v>0</v>
      </c>
      <c r="D38" s="5" t="s">
        <v>138</v>
      </c>
      <c r="E38" s="99">
        <f>'ICP Value Comparison'!G12</f>
        <v>0</v>
      </c>
      <c r="F38" s="180" t="e">
        <f>'ICP Value Comparison'!H12</f>
        <v>#DIV/0!</v>
      </c>
      <c r="G38" s="177" t="s">
        <v>197</v>
      </c>
      <c r="H38" s="178"/>
      <c r="I38" s="178"/>
      <c r="J38" s="179"/>
      <c r="K38" s="179"/>
      <c r="L38" s="179"/>
    </row>
    <row r="39" spans="1:12">
      <c r="A39" s="1" t="s">
        <v>84</v>
      </c>
      <c r="B39" s="7" t="s">
        <v>2</v>
      </c>
      <c r="C39" s="181">
        <v>0</v>
      </c>
      <c r="D39" s="5" t="s">
        <v>138</v>
      </c>
      <c r="E39" s="99">
        <f>'ICP Value Comparison'!G14</f>
        <v>0</v>
      </c>
      <c r="F39" s="80" t="e">
        <f>'ICP Value Comparison'!H14</f>
        <v>#DIV/0!</v>
      </c>
      <c r="G39" s="100" t="s">
        <v>190</v>
      </c>
      <c r="H39" s="1"/>
      <c r="I39" s="1"/>
    </row>
    <row r="40" spans="1:12">
      <c r="A40" s="1" t="s">
        <v>85</v>
      </c>
      <c r="B40" s="7" t="s">
        <v>3</v>
      </c>
      <c r="C40" s="181">
        <v>0</v>
      </c>
      <c r="D40" s="5" t="s">
        <v>138</v>
      </c>
      <c r="E40" s="99">
        <f>'ICP Value Comparison'!G16</f>
        <v>0</v>
      </c>
      <c r="F40" s="180" t="e">
        <f>'ICP Value Comparison'!H16</f>
        <v>#DIV/0!</v>
      </c>
      <c r="G40" s="177" t="s">
        <v>197</v>
      </c>
      <c r="H40" s="178"/>
      <c r="I40" s="178"/>
      <c r="J40" s="179"/>
      <c r="K40" s="179"/>
      <c r="L40" s="179"/>
    </row>
    <row r="41" spans="1:12">
      <c r="A41" s="1" t="s">
        <v>86</v>
      </c>
      <c r="B41" s="7" t="s">
        <v>4</v>
      </c>
      <c r="C41" s="181">
        <v>0</v>
      </c>
      <c r="D41" s="5" t="s">
        <v>138</v>
      </c>
      <c r="E41" s="99">
        <f>'ICP Value Comparison'!G18</f>
        <v>0</v>
      </c>
      <c r="F41" s="180" t="e">
        <f>'ICP Value Comparison'!H18</f>
        <v>#DIV/0!</v>
      </c>
      <c r="G41" s="177" t="s">
        <v>197</v>
      </c>
      <c r="H41" s="178"/>
      <c r="I41" s="178"/>
      <c r="J41" s="179"/>
      <c r="K41" s="179"/>
      <c r="L41" s="179"/>
    </row>
    <row r="42" spans="1:12">
      <c r="A42" s="1" t="s">
        <v>87</v>
      </c>
      <c r="B42" s="7" t="s">
        <v>5</v>
      </c>
      <c r="C42" s="181">
        <v>0</v>
      </c>
      <c r="D42" s="5" t="s">
        <v>138</v>
      </c>
      <c r="E42" s="99">
        <f>'ICP Value Comparison'!G20</f>
        <v>0</v>
      </c>
      <c r="F42" s="180" t="e">
        <f>'ICP Value Comparison'!H20</f>
        <v>#DIV/0!</v>
      </c>
      <c r="G42" s="177" t="s">
        <v>197</v>
      </c>
      <c r="H42" s="178"/>
      <c r="I42" s="178"/>
      <c r="J42" s="179"/>
      <c r="K42" s="179"/>
      <c r="L42" s="179"/>
    </row>
    <row r="43" spans="1:12">
      <c r="A43" s="1" t="s">
        <v>88</v>
      </c>
      <c r="B43" s="7" t="s">
        <v>6</v>
      </c>
      <c r="C43" s="181">
        <v>0</v>
      </c>
      <c r="D43" s="5" t="s">
        <v>138</v>
      </c>
      <c r="E43" s="99">
        <f>'ICP Value Comparison'!G22</f>
        <v>0</v>
      </c>
      <c r="F43" s="80" t="e">
        <f>'ICP Value Comparison'!H22</f>
        <v>#DIV/0!</v>
      </c>
      <c r="G43" s="1" t="s">
        <v>198</v>
      </c>
      <c r="H43" s="1"/>
      <c r="I43" s="1"/>
    </row>
    <row r="44" spans="1:12">
      <c r="A44" s="1" t="s">
        <v>89</v>
      </c>
      <c r="B44" s="7" t="s">
        <v>7</v>
      </c>
      <c r="C44" s="181">
        <v>0</v>
      </c>
      <c r="D44" s="5" t="s">
        <v>138</v>
      </c>
      <c r="E44" s="99">
        <f>'ICP Value Comparison'!G24</f>
        <v>0</v>
      </c>
      <c r="F44" s="80" t="e">
        <f>'ICP Value Comparison'!H24</f>
        <v>#DIV/0!</v>
      </c>
      <c r="G44" s="1" t="s">
        <v>191</v>
      </c>
      <c r="H44" s="1"/>
      <c r="I44" s="1"/>
    </row>
    <row r="45" spans="1:12">
      <c r="A45" s="1" t="s">
        <v>136</v>
      </c>
      <c r="B45" s="7" t="s">
        <v>8</v>
      </c>
      <c r="C45" s="181">
        <v>0</v>
      </c>
      <c r="D45" s="5" t="s">
        <v>138</v>
      </c>
      <c r="E45" s="99">
        <f>'ICP Value Comparison'!G26</f>
        <v>0</v>
      </c>
      <c r="F45" s="180" t="e">
        <f>'ICP Value Comparison'!H26</f>
        <v>#DIV/0!</v>
      </c>
      <c r="G45" s="177" t="s">
        <v>197</v>
      </c>
      <c r="H45" s="178"/>
      <c r="I45" s="178"/>
      <c r="J45" s="179"/>
      <c r="K45" s="179"/>
      <c r="L45" s="179"/>
    </row>
    <row r="46" spans="1:12">
      <c r="A46" s="1" t="s">
        <v>90</v>
      </c>
      <c r="B46" s="7" t="s">
        <v>9</v>
      </c>
      <c r="C46" s="181">
        <v>0</v>
      </c>
      <c r="D46" s="5" t="s">
        <v>138</v>
      </c>
      <c r="E46" s="99">
        <f>'ICP Value Comparison'!G28</f>
        <v>0</v>
      </c>
      <c r="F46" s="80" t="e">
        <f>'ICP Value Comparison'!H28</f>
        <v>#DIV/0!</v>
      </c>
      <c r="G46" s="1" t="s">
        <v>192</v>
      </c>
      <c r="H46" s="1"/>
      <c r="I46" s="1"/>
    </row>
    <row r="47" spans="1:12">
      <c r="A47" s="1" t="s">
        <v>91</v>
      </c>
      <c r="B47" s="7" t="s">
        <v>10</v>
      </c>
      <c r="C47" s="181">
        <v>0</v>
      </c>
      <c r="D47" s="5" t="s">
        <v>138</v>
      </c>
      <c r="E47" s="99">
        <f>'ICP Value Comparison'!G30</f>
        <v>0</v>
      </c>
      <c r="F47" s="80" t="e">
        <f>'ICP Value Comparison'!H30</f>
        <v>#DIV/0!</v>
      </c>
      <c r="G47" s="1" t="s">
        <v>189</v>
      </c>
      <c r="H47" s="1"/>
      <c r="I47" s="1"/>
    </row>
    <row r="48" spans="1:12">
      <c r="A48" s="1" t="s">
        <v>92</v>
      </c>
      <c r="B48" s="7" t="s">
        <v>11</v>
      </c>
      <c r="C48" s="181">
        <v>0</v>
      </c>
      <c r="D48" s="5" t="s">
        <v>138</v>
      </c>
      <c r="E48" s="99">
        <f>'ICP Value Comparison'!G32</f>
        <v>0</v>
      </c>
      <c r="F48" s="80" t="e">
        <f>'ICP Value Comparison'!H32</f>
        <v>#DIV/0!</v>
      </c>
      <c r="G48" s="1" t="s">
        <v>199</v>
      </c>
      <c r="H48" s="1"/>
      <c r="I48" s="1"/>
    </row>
    <row r="49" spans="1:12">
      <c r="A49" s="1" t="s">
        <v>93</v>
      </c>
      <c r="B49" s="7" t="s">
        <v>12</v>
      </c>
      <c r="C49" s="181">
        <v>0</v>
      </c>
      <c r="D49" s="5" t="s">
        <v>138</v>
      </c>
      <c r="E49" s="99">
        <f>'ICP Value Comparison'!G34</f>
        <v>0</v>
      </c>
      <c r="F49" s="180" t="e">
        <f>'ICP Value Comparison'!H34</f>
        <v>#DIV/0!</v>
      </c>
      <c r="G49" s="177" t="s">
        <v>197</v>
      </c>
      <c r="H49" s="178"/>
      <c r="I49" s="178"/>
      <c r="J49" s="179"/>
      <c r="K49" s="179"/>
      <c r="L49" s="179"/>
    </row>
    <row r="50" spans="1:12">
      <c r="A50" s="1" t="s">
        <v>94</v>
      </c>
      <c r="B50" s="7" t="s">
        <v>13</v>
      </c>
      <c r="C50" s="181">
        <v>0</v>
      </c>
      <c r="D50" s="5" t="s">
        <v>138</v>
      </c>
      <c r="E50" s="99">
        <f>'ICP Value Comparison'!G36</f>
        <v>0</v>
      </c>
      <c r="F50" s="80" t="e">
        <f>'ICP Value Comparison'!H36</f>
        <v>#DIV/0!</v>
      </c>
      <c r="G50" s="1" t="s">
        <v>189</v>
      </c>
      <c r="H50" s="1"/>
      <c r="I50" s="1"/>
    </row>
    <row r="51" spans="1:12">
      <c r="A51" s="1" t="s">
        <v>203</v>
      </c>
      <c r="B51" s="7" t="s">
        <v>61</v>
      </c>
      <c r="C51" s="181">
        <v>0</v>
      </c>
      <c r="D51" s="5" t="s">
        <v>138</v>
      </c>
      <c r="E51" s="99">
        <f>'ICP Value Comparison'!G38</f>
        <v>0</v>
      </c>
      <c r="F51" s="80" t="e">
        <f>'ICP Value Comparison'!H38</f>
        <v>#DIV/0!</v>
      </c>
      <c r="G51" s="1" t="s">
        <v>198</v>
      </c>
      <c r="H51" s="1"/>
      <c r="I51" s="1"/>
    </row>
    <row r="52" spans="1:12">
      <c r="A52" s="1" t="s">
        <v>96</v>
      </c>
      <c r="B52" s="7" t="s">
        <v>14</v>
      </c>
      <c r="C52" s="181">
        <v>0</v>
      </c>
      <c r="D52" s="5" t="s">
        <v>138</v>
      </c>
      <c r="E52" s="99">
        <f>'ICP Value Comparison'!G40</f>
        <v>0</v>
      </c>
      <c r="F52" s="80" t="e">
        <f>'ICP Value Comparison'!H40</f>
        <v>#DIV/0!</v>
      </c>
      <c r="G52" s="1" t="s">
        <v>189</v>
      </c>
      <c r="H52" s="1"/>
      <c r="I52" s="1"/>
    </row>
    <row r="53" spans="1:12">
      <c r="A53" s="1" t="s">
        <v>97</v>
      </c>
      <c r="B53" s="7" t="s">
        <v>15</v>
      </c>
      <c r="C53" s="181">
        <v>0</v>
      </c>
      <c r="D53" s="5" t="s">
        <v>138</v>
      </c>
      <c r="E53" s="99">
        <f>'ICP Value Comparison'!G42</f>
        <v>0</v>
      </c>
      <c r="F53" s="180" t="e">
        <f>'ICP Value Comparison'!H42</f>
        <v>#DIV/0!</v>
      </c>
      <c r="G53" s="177" t="s">
        <v>197</v>
      </c>
      <c r="H53" s="178"/>
      <c r="I53" s="178"/>
      <c r="J53" s="179"/>
      <c r="K53" s="179"/>
      <c r="L53" s="179"/>
    </row>
    <row r="54" spans="1:12">
      <c r="A54" s="1" t="s">
        <v>98</v>
      </c>
      <c r="B54" s="7" t="s">
        <v>16</v>
      </c>
      <c r="C54" s="181">
        <v>0</v>
      </c>
      <c r="D54" s="5" t="s">
        <v>138</v>
      </c>
      <c r="E54" s="99">
        <f>'ICP Value Comparison'!G44</f>
        <v>0</v>
      </c>
      <c r="F54" s="80" t="e">
        <f>'ICP Value Comparison'!H44</f>
        <v>#DIV/0!</v>
      </c>
      <c r="G54" s="1" t="s">
        <v>198</v>
      </c>
      <c r="H54" s="1"/>
      <c r="I54" s="1"/>
    </row>
    <row r="55" spans="1:12">
      <c r="A55" s="1" t="s">
        <v>99</v>
      </c>
      <c r="B55" s="7" t="s">
        <v>17</v>
      </c>
      <c r="C55" s="181">
        <v>0</v>
      </c>
      <c r="D55" s="5" t="s">
        <v>138</v>
      </c>
      <c r="E55" s="99">
        <f>'ICP Value Comparison'!G46</f>
        <v>0</v>
      </c>
      <c r="F55" s="180" t="e">
        <f>'ICP Value Comparison'!H46</f>
        <v>#DIV/0!</v>
      </c>
      <c r="G55" s="177" t="s">
        <v>197</v>
      </c>
      <c r="H55" s="178"/>
      <c r="I55" s="178"/>
      <c r="J55" s="179"/>
      <c r="K55" s="179"/>
      <c r="L55" s="179"/>
    </row>
    <row r="56" spans="1:12">
      <c r="A56" s="1" t="s">
        <v>100</v>
      </c>
      <c r="B56" s="7" t="s">
        <v>18</v>
      </c>
      <c r="C56" s="181">
        <v>0</v>
      </c>
      <c r="D56" s="5" t="s">
        <v>138</v>
      </c>
      <c r="E56" s="99">
        <f>'ICP Value Comparison'!G48</f>
        <v>0</v>
      </c>
      <c r="F56" s="80" t="e">
        <f>'ICP Value Comparison'!H48</f>
        <v>#DIV/0!</v>
      </c>
      <c r="G56" s="1" t="s">
        <v>189</v>
      </c>
      <c r="H56" s="1"/>
      <c r="I56" s="1"/>
    </row>
    <row r="57" spans="1:12">
      <c r="A57" s="1" t="s">
        <v>101</v>
      </c>
      <c r="B57" s="7" t="s">
        <v>19</v>
      </c>
      <c r="C57" s="181">
        <v>0</v>
      </c>
      <c r="D57" s="5" t="s">
        <v>138</v>
      </c>
      <c r="E57" s="99">
        <f>'ICP Value Comparison'!G50</f>
        <v>0</v>
      </c>
      <c r="F57" s="180" t="e">
        <f>'ICP Value Comparison'!H50</f>
        <v>#DIV/0!</v>
      </c>
      <c r="G57" s="177" t="s">
        <v>197</v>
      </c>
      <c r="H57" s="178"/>
      <c r="I57" s="178"/>
      <c r="J57" s="179"/>
      <c r="K57" s="179"/>
      <c r="L57" s="179"/>
    </row>
    <row r="58" spans="1:12">
      <c r="A58" s="1" t="s">
        <v>102</v>
      </c>
      <c r="B58" s="7" t="s">
        <v>20</v>
      </c>
      <c r="C58" s="181">
        <v>0</v>
      </c>
      <c r="D58" s="5" t="s">
        <v>138</v>
      </c>
      <c r="E58" s="99">
        <f>'ICP Value Comparison'!G52</f>
        <v>0</v>
      </c>
      <c r="F58" s="80" t="e">
        <f>'ICP Value Comparison'!H52</f>
        <v>#DIV/0!</v>
      </c>
      <c r="G58" s="1" t="s">
        <v>194</v>
      </c>
      <c r="H58" s="1"/>
      <c r="I58" s="1"/>
    </row>
    <row r="59" spans="1:12">
      <c r="A59" s="1" t="s">
        <v>103</v>
      </c>
      <c r="B59" s="7" t="s">
        <v>21</v>
      </c>
      <c r="C59" s="181">
        <v>0</v>
      </c>
      <c r="D59" s="5" t="s">
        <v>138</v>
      </c>
      <c r="E59" s="99">
        <f>'ICP Value Comparison'!G54</f>
        <v>0</v>
      </c>
      <c r="F59" s="80" t="e">
        <f>'ICP Value Comparison'!H54</f>
        <v>#DIV/0!</v>
      </c>
      <c r="G59" s="1" t="s">
        <v>189</v>
      </c>
      <c r="H59" s="1"/>
      <c r="I59" s="1"/>
    </row>
    <row r="60" spans="1:12">
      <c r="A60" s="1" t="s">
        <v>104</v>
      </c>
      <c r="B60" s="7" t="s">
        <v>22</v>
      </c>
      <c r="C60" s="181">
        <v>0</v>
      </c>
      <c r="D60" s="5" t="s">
        <v>138</v>
      </c>
      <c r="E60" s="99">
        <f>'ICP Value Comparison'!G56</f>
        <v>0</v>
      </c>
      <c r="F60" s="80" t="e">
        <f>'ICP Value Comparison'!H56</f>
        <v>#DIV/0!</v>
      </c>
      <c r="G60" s="1" t="s">
        <v>189</v>
      </c>
      <c r="H60" s="1"/>
      <c r="I60" s="1"/>
    </row>
    <row r="61" spans="1:12">
      <c r="A61" s="1" t="s">
        <v>105</v>
      </c>
      <c r="B61" s="7" t="s">
        <v>23</v>
      </c>
      <c r="C61" s="181">
        <v>0</v>
      </c>
      <c r="D61" s="5" t="s">
        <v>138</v>
      </c>
      <c r="E61" s="99">
        <f>'ICP Value Comparison'!G58</f>
        <v>0</v>
      </c>
      <c r="F61" s="80" t="e">
        <f>'ICP Value Comparison'!H58</f>
        <v>#DIV/0!</v>
      </c>
      <c r="G61" s="1" t="s">
        <v>195</v>
      </c>
      <c r="H61" s="1"/>
      <c r="I61" s="1"/>
    </row>
    <row r="62" spans="1:12">
      <c r="A62" s="1" t="s">
        <v>106</v>
      </c>
      <c r="B62" s="7" t="s">
        <v>24</v>
      </c>
      <c r="C62" s="181">
        <v>0</v>
      </c>
      <c r="D62" s="5" t="s">
        <v>138</v>
      </c>
      <c r="E62" s="99">
        <f>'ICP Value Comparison'!G60</f>
        <v>0</v>
      </c>
      <c r="F62" s="80" t="e">
        <f>'ICP Value Comparison'!H60</f>
        <v>#DIV/0!</v>
      </c>
      <c r="G62" s="1" t="s">
        <v>189</v>
      </c>
      <c r="H62" s="1"/>
      <c r="I62" s="1"/>
    </row>
    <row r="63" spans="1:12">
      <c r="A63" s="1" t="s">
        <v>107</v>
      </c>
      <c r="B63" s="7" t="s">
        <v>25</v>
      </c>
      <c r="C63" s="181">
        <v>0</v>
      </c>
      <c r="D63" s="5" t="s">
        <v>138</v>
      </c>
      <c r="E63" s="99">
        <f>'ICP Value Comparison'!G62</f>
        <v>0</v>
      </c>
      <c r="F63" s="180" t="e">
        <f>'ICP Value Comparison'!H62</f>
        <v>#DIV/0!</v>
      </c>
      <c r="G63" s="177" t="s">
        <v>197</v>
      </c>
      <c r="H63" s="178"/>
      <c r="I63" s="178"/>
      <c r="J63" s="179"/>
      <c r="K63" s="179"/>
      <c r="L63" s="179"/>
    </row>
    <row r="64" spans="1:12">
      <c r="A64" s="1" t="s">
        <v>108</v>
      </c>
      <c r="B64" s="7" t="s">
        <v>26</v>
      </c>
      <c r="C64" s="181">
        <v>0</v>
      </c>
      <c r="D64" s="5" t="s">
        <v>138</v>
      </c>
      <c r="E64" s="99">
        <f>'ICP Value Comparison'!G64</f>
        <v>0</v>
      </c>
      <c r="F64" s="80" t="e">
        <f>'ICP Value Comparison'!H64</f>
        <v>#DIV/0!</v>
      </c>
      <c r="G64" s="1" t="s">
        <v>199</v>
      </c>
      <c r="H64" s="1"/>
      <c r="I64" s="1"/>
    </row>
    <row r="65" spans="1:12">
      <c r="A65" s="1" t="s">
        <v>109</v>
      </c>
      <c r="B65" s="7" t="s">
        <v>27</v>
      </c>
      <c r="C65" s="181">
        <v>0</v>
      </c>
      <c r="D65" s="5" t="s">
        <v>138</v>
      </c>
      <c r="E65" s="99">
        <f>'ICP Value Comparison'!G66</f>
        <v>0</v>
      </c>
      <c r="F65" s="80" t="e">
        <f>'ICP Value Comparison'!H66</f>
        <v>#DIV/0!</v>
      </c>
      <c r="G65" s="1" t="s">
        <v>193</v>
      </c>
      <c r="H65" s="1"/>
      <c r="I65" s="1"/>
    </row>
    <row r="66" spans="1:12">
      <c r="A66" s="1" t="s">
        <v>110</v>
      </c>
      <c r="B66" s="7" t="s">
        <v>28</v>
      </c>
      <c r="C66" s="181">
        <v>0</v>
      </c>
      <c r="D66" s="5" t="s">
        <v>138</v>
      </c>
      <c r="E66" s="99">
        <f>'ICP Value Comparison'!G68</f>
        <v>0</v>
      </c>
      <c r="F66" s="80" t="e">
        <f>'ICP Value Comparison'!H68</f>
        <v>#DIV/0!</v>
      </c>
      <c r="G66" s="1" t="s">
        <v>189</v>
      </c>
      <c r="H66" s="1"/>
      <c r="I66" s="1"/>
    </row>
    <row r="67" spans="1:12">
      <c r="A67" s="1" t="s">
        <v>111</v>
      </c>
      <c r="B67" s="7" t="s">
        <v>29</v>
      </c>
      <c r="C67" s="181">
        <v>0</v>
      </c>
      <c r="D67" s="5" t="s">
        <v>138</v>
      </c>
      <c r="E67" s="99">
        <f>'ICP Value Comparison'!G70</f>
        <v>0</v>
      </c>
      <c r="F67" s="80" t="e">
        <f>'ICP Value Comparison'!H70</f>
        <v>#DIV/0!</v>
      </c>
      <c r="G67" s="1" t="s">
        <v>196</v>
      </c>
      <c r="H67" s="1"/>
      <c r="I67" s="1"/>
    </row>
    <row r="68" spans="1:12">
      <c r="A68" s="1" t="s">
        <v>112</v>
      </c>
      <c r="B68" s="7" t="s">
        <v>30</v>
      </c>
      <c r="C68" s="181">
        <v>0</v>
      </c>
      <c r="D68" s="5" t="s">
        <v>138</v>
      </c>
      <c r="E68" s="99">
        <f>'ICP Value Comparison'!G72</f>
        <v>0</v>
      </c>
      <c r="F68" s="80" t="e">
        <f>'ICP Value Comparison'!H72</f>
        <v>#DIV/0!</v>
      </c>
      <c r="G68" s="1" t="s">
        <v>191</v>
      </c>
      <c r="H68" s="1"/>
      <c r="I68" s="1"/>
    </row>
    <row r="69" spans="1:12">
      <c r="A69" s="1" t="s">
        <v>113</v>
      </c>
      <c r="B69" s="7" t="s">
        <v>34</v>
      </c>
      <c r="C69" s="181">
        <v>0</v>
      </c>
      <c r="D69" s="5" t="s">
        <v>138</v>
      </c>
      <c r="E69" s="99">
        <f>'ICP Value Comparison'!G74</f>
        <v>0</v>
      </c>
      <c r="F69" s="180" t="e">
        <f>'ICP Value Comparison'!H74</f>
        <v>#DIV/0!</v>
      </c>
      <c r="G69" s="177" t="s">
        <v>197</v>
      </c>
      <c r="H69" s="178"/>
      <c r="I69" s="178"/>
      <c r="J69" s="179"/>
      <c r="K69" s="179"/>
      <c r="L69" s="179"/>
    </row>
    <row r="70" spans="1:12">
      <c r="A70" s="1" t="s">
        <v>114</v>
      </c>
      <c r="B70" s="7" t="s">
        <v>31</v>
      </c>
      <c r="C70" s="181">
        <v>0</v>
      </c>
      <c r="D70" s="5" t="s">
        <v>138</v>
      </c>
      <c r="E70" s="99">
        <f>'ICP Value Comparison'!G76</f>
        <v>0</v>
      </c>
      <c r="F70" s="180" t="e">
        <f>'ICP Value Comparison'!H76</f>
        <v>#DIV/0!</v>
      </c>
      <c r="G70" s="177" t="s">
        <v>197</v>
      </c>
      <c r="H70" s="178"/>
      <c r="I70" s="178"/>
      <c r="J70" s="179"/>
      <c r="K70" s="179"/>
      <c r="L70" s="179"/>
    </row>
    <row r="71" spans="1:12">
      <c r="A71" s="1" t="s">
        <v>115</v>
      </c>
      <c r="B71" s="7" t="s">
        <v>32</v>
      </c>
      <c r="C71" s="181">
        <v>0</v>
      </c>
      <c r="D71" s="5" t="s">
        <v>138</v>
      </c>
      <c r="E71" s="99">
        <f>'ICP Value Comparison'!G78</f>
        <v>0</v>
      </c>
      <c r="F71" s="80" t="e">
        <f>'ICP Value Comparison'!H78</f>
        <v>#DIV/0!</v>
      </c>
      <c r="G71" s="1" t="s">
        <v>189</v>
      </c>
      <c r="H71" s="1"/>
      <c r="I71" s="1"/>
    </row>
    <row r="72" spans="1:12">
      <c r="A72" s="1" t="s">
        <v>116</v>
      </c>
      <c r="B72" s="7" t="s">
        <v>33</v>
      </c>
      <c r="C72" s="181">
        <v>0</v>
      </c>
      <c r="D72" s="5" t="s">
        <v>138</v>
      </c>
      <c r="E72" s="99">
        <f>'ICP Value Comparison'!G80</f>
        <v>0</v>
      </c>
      <c r="F72" s="80" t="e">
        <f>'ICP Value Comparison'!H80</f>
        <v>#DIV/0!</v>
      </c>
      <c r="G72" s="1" t="s">
        <v>189</v>
      </c>
      <c r="H72" s="1"/>
      <c r="I72" s="1"/>
    </row>
    <row r="76" spans="1:12">
      <c r="A76" s="1"/>
      <c r="B76" s="1"/>
      <c r="C76" s="1"/>
      <c r="D76" s="1"/>
    </row>
    <row r="77" spans="1:12">
      <c r="A77" s="1"/>
      <c r="B77" s="1"/>
      <c r="C77" s="1"/>
      <c r="D77" s="1"/>
    </row>
    <row r="78" spans="1:12">
      <c r="A78" s="1"/>
      <c r="B78" s="1"/>
      <c r="C78" s="1"/>
      <c r="D78" s="1"/>
    </row>
    <row r="79" spans="1:12">
      <c r="A79" s="1"/>
      <c r="B79" s="1"/>
      <c r="C79" s="1"/>
      <c r="D79" s="1"/>
    </row>
  </sheetData>
  <sheetProtection password="F283" sheet="1" objects="1" scenarios="1" selectLockedCells="1"/>
  <mergeCells count="6">
    <mergeCell ref="A9:D11"/>
    <mergeCell ref="A23:D25"/>
    <mergeCell ref="E28:K33"/>
    <mergeCell ref="A20:D21"/>
    <mergeCell ref="A13:D14"/>
    <mergeCell ref="A16:D19"/>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zoomScale="150" zoomScaleNormal="150" zoomScalePageLayoutView="150" workbookViewId="0">
      <selection activeCell="G16" sqref="G16"/>
    </sheetView>
  </sheetViews>
  <sheetFormatPr baseColWidth="10" defaultColWidth="10.625" defaultRowHeight="15" x14ac:dyDescent="0"/>
  <cols>
    <col min="1" max="4" width="10.625" style="84"/>
    <col min="5" max="5" width="14" style="85" customWidth="1"/>
    <col min="6" max="6" width="14" style="102" customWidth="1"/>
    <col min="7" max="7" width="14" style="85" customWidth="1"/>
    <col min="8" max="9" width="14" style="102" customWidth="1"/>
    <col min="10" max="10" width="9.75" style="102" customWidth="1"/>
    <col min="11" max="11" width="6.625" style="102" bestFit="1" customWidth="1"/>
    <col min="12" max="12" width="9.125" style="84" hidden="1" customWidth="1"/>
    <col min="13" max="13" width="9.75" style="84" hidden="1" customWidth="1"/>
    <col min="14" max="14" width="5" style="84" customWidth="1"/>
    <col min="15" max="18" width="10.625" style="84"/>
    <col min="19" max="19" width="10.75" style="84" bestFit="1" customWidth="1"/>
    <col min="20" max="16384" width="10.625" style="84"/>
  </cols>
  <sheetData>
    <row r="1" spans="1:20">
      <c r="A1" s="83" t="s">
        <v>153</v>
      </c>
      <c r="E1" s="102"/>
      <c r="G1" s="102"/>
    </row>
    <row r="2" spans="1:20" ht="16">
      <c r="A2" s="142" t="s">
        <v>212</v>
      </c>
      <c r="B2" s="255"/>
      <c r="C2" s="255"/>
      <c r="D2" s="255"/>
      <c r="E2" s="255"/>
      <c r="F2" s="255"/>
      <c r="G2" s="255"/>
      <c r="H2" s="112"/>
      <c r="I2" s="112"/>
      <c r="J2" s="112"/>
      <c r="K2" s="112"/>
      <c r="L2" s="124"/>
      <c r="M2" s="124"/>
      <c r="N2" s="124"/>
    </row>
    <row r="3" spans="1:20" ht="16">
      <c r="A3" s="255"/>
      <c r="B3" s="255"/>
      <c r="C3" s="255"/>
      <c r="D3" s="255"/>
      <c r="E3" s="255"/>
      <c r="F3" s="255"/>
      <c r="G3" s="255"/>
      <c r="H3" s="112"/>
      <c r="I3" s="112"/>
      <c r="J3" s="112"/>
      <c r="K3" s="112"/>
      <c r="L3" s="124"/>
      <c r="M3" s="124"/>
      <c r="N3" s="124"/>
    </row>
    <row r="4" spans="1:20" ht="16">
      <c r="A4" s="255"/>
      <c r="B4" s="255"/>
      <c r="C4" s="255"/>
      <c r="D4" s="255"/>
      <c r="E4" s="255"/>
      <c r="F4" s="255"/>
      <c r="G4" s="255"/>
      <c r="H4" s="112"/>
      <c r="I4" s="112"/>
      <c r="J4" s="112"/>
      <c r="K4" s="112"/>
      <c r="L4" s="112"/>
      <c r="M4" s="112"/>
      <c r="N4" s="112"/>
    </row>
    <row r="5" spans="1:20" ht="16">
      <c r="A5" s="112"/>
      <c r="B5" s="112"/>
      <c r="C5" s="112"/>
      <c r="D5" s="112"/>
      <c r="E5" s="112"/>
      <c r="F5" s="112"/>
      <c r="G5" s="112"/>
      <c r="H5" s="112"/>
      <c r="I5" s="112"/>
      <c r="J5" s="112"/>
      <c r="K5" s="112"/>
      <c r="L5" s="112"/>
      <c r="M5" s="112"/>
      <c r="N5" s="112"/>
    </row>
    <row r="6" spans="1:20" ht="16">
      <c r="A6" s="142" t="s">
        <v>216</v>
      </c>
      <c r="B6" s="142"/>
      <c r="C6" s="142"/>
      <c r="D6" s="142"/>
      <c r="E6" s="142"/>
      <c r="F6" s="142"/>
      <c r="G6" s="142"/>
      <c r="H6" s="112"/>
      <c r="I6" s="112"/>
      <c r="J6" s="112"/>
      <c r="K6" s="112"/>
      <c r="L6" s="112"/>
      <c r="M6" s="112"/>
      <c r="N6" s="112"/>
    </row>
    <row r="7" spans="1:20" ht="16">
      <c r="A7" s="142"/>
      <c r="B7" s="142"/>
      <c r="C7" s="142"/>
      <c r="D7" s="142"/>
      <c r="E7" s="142"/>
      <c r="F7" s="142"/>
      <c r="G7" s="142"/>
      <c r="H7" s="112"/>
      <c r="I7" s="112"/>
      <c r="J7" s="112"/>
      <c r="K7" s="112"/>
      <c r="L7" s="112"/>
      <c r="M7" s="112"/>
      <c r="N7" s="112"/>
    </row>
    <row r="8" spans="1:20" ht="16">
      <c r="A8" s="142"/>
      <c r="B8" s="142"/>
      <c r="C8" s="142"/>
      <c r="D8" s="142"/>
      <c r="E8" s="142"/>
      <c r="F8" s="142"/>
      <c r="G8" s="142"/>
      <c r="H8" s="112"/>
      <c r="I8" s="112"/>
      <c r="J8" s="112"/>
      <c r="K8" s="112"/>
      <c r="L8" s="112"/>
      <c r="M8" s="112"/>
      <c r="N8" s="112"/>
    </row>
    <row r="9" spans="1:20" ht="17" thickBot="1">
      <c r="A9" s="112"/>
      <c r="B9" s="112"/>
      <c r="C9" s="112"/>
      <c r="D9" s="112"/>
      <c r="E9" s="112"/>
      <c r="F9" s="112"/>
      <c r="G9" s="112"/>
      <c r="H9" s="112"/>
      <c r="I9" s="112"/>
      <c r="J9" s="112"/>
      <c r="K9" s="112"/>
      <c r="L9" s="112"/>
      <c r="M9" s="112"/>
      <c r="N9" s="112"/>
    </row>
    <row r="10" spans="1:20" ht="16">
      <c r="A10" s="130" t="s">
        <v>206</v>
      </c>
      <c r="B10" s="144"/>
      <c r="C10" s="144"/>
      <c r="D10" s="144"/>
      <c r="E10" s="144"/>
      <c r="F10" s="144"/>
      <c r="G10" s="145"/>
      <c r="H10" s="183"/>
      <c r="I10" s="183"/>
      <c r="J10" s="183"/>
      <c r="K10" s="183"/>
      <c r="L10" s="112"/>
      <c r="M10" s="112"/>
      <c r="N10" s="112"/>
    </row>
    <row r="11" spans="1:20" ht="17" thickBot="1">
      <c r="A11" s="146"/>
      <c r="B11" s="147"/>
      <c r="C11" s="147"/>
      <c r="D11" s="147"/>
      <c r="E11" s="147"/>
      <c r="F11" s="147"/>
      <c r="G11" s="148"/>
      <c r="H11" s="183"/>
      <c r="I11" s="183"/>
      <c r="J11" s="183"/>
      <c r="K11" s="183"/>
      <c r="L11" s="112"/>
      <c r="M11" s="112"/>
      <c r="N11" s="112"/>
    </row>
    <row r="12" spans="1:20" ht="16">
      <c r="A12" s="112"/>
      <c r="B12" s="112"/>
      <c r="C12" s="112"/>
      <c r="D12" s="112"/>
      <c r="E12" s="112"/>
      <c r="F12" s="112"/>
      <c r="G12" s="112"/>
      <c r="H12" s="112"/>
      <c r="I12" s="112"/>
      <c r="J12" s="112"/>
      <c r="K12" s="112"/>
      <c r="L12" s="112"/>
      <c r="M12" s="112"/>
      <c r="N12" s="112"/>
    </row>
    <row r="13" spans="1:20" ht="16" thickBot="1">
      <c r="A13" s="83" t="s">
        <v>211</v>
      </c>
      <c r="E13" s="102"/>
      <c r="G13" s="102"/>
      <c r="O13" s="83" t="s">
        <v>165</v>
      </c>
    </row>
    <row r="14" spans="1:20" ht="16">
      <c r="A14" s="217"/>
      <c r="B14" s="218"/>
      <c r="C14" s="218"/>
      <c r="D14" s="219"/>
      <c r="E14" s="270" t="s">
        <v>214</v>
      </c>
      <c r="F14" s="288"/>
      <c r="G14" s="200" t="s">
        <v>209</v>
      </c>
      <c r="H14" s="201"/>
      <c r="I14" s="225" t="s">
        <v>210</v>
      </c>
      <c r="J14" s="253"/>
      <c r="K14" s="254"/>
      <c r="L14" s="251" t="s">
        <v>204</v>
      </c>
      <c r="M14" s="252"/>
      <c r="O14" s="86"/>
      <c r="P14" s="87"/>
      <c r="Q14" s="87"/>
      <c r="R14" s="105" t="s">
        <v>174</v>
      </c>
      <c r="S14" s="199">
        <f>'Input Values'!C32</f>
        <v>30</v>
      </c>
      <c r="T14" s="88" t="s">
        <v>155</v>
      </c>
    </row>
    <row r="15" spans="1:20" ht="17" customHeight="1" thickBot="1">
      <c r="A15" s="220" t="s">
        <v>152</v>
      </c>
      <c r="B15" s="221" t="s">
        <v>134</v>
      </c>
      <c r="C15" s="249" t="s">
        <v>166</v>
      </c>
      <c r="D15" s="275"/>
      <c r="E15" s="271"/>
      <c r="F15" s="238" t="s">
        <v>222</v>
      </c>
      <c r="G15" s="202" t="s">
        <v>65</v>
      </c>
      <c r="H15" s="203" t="s">
        <v>213</v>
      </c>
      <c r="I15" s="226" t="s">
        <v>65</v>
      </c>
      <c r="J15" s="227" t="s">
        <v>213</v>
      </c>
      <c r="K15" s="228"/>
      <c r="L15" s="186" t="s">
        <v>65</v>
      </c>
      <c r="M15" s="186" t="s">
        <v>213</v>
      </c>
      <c r="O15" s="89"/>
      <c r="P15" s="90"/>
      <c r="Q15" s="90"/>
      <c r="R15" s="91" t="s">
        <v>175</v>
      </c>
      <c r="S15" s="96">
        <v>1</v>
      </c>
      <c r="T15" s="92" t="s">
        <v>168</v>
      </c>
    </row>
    <row r="16" spans="1:20" ht="16" customHeight="1">
      <c r="A16" s="222" t="s">
        <v>84</v>
      </c>
      <c r="B16" s="221" t="s">
        <v>2</v>
      </c>
      <c r="C16" s="248" t="e">
        <f>IF('Input Values'!F39&gt;0,"Elevated by","Deficient by")</f>
        <v>#DIV/0!</v>
      </c>
      <c r="D16" s="276" t="e">
        <f>'Input Values'!F39</f>
        <v>#DIV/0!</v>
      </c>
      <c r="E16" s="272" t="s">
        <v>44</v>
      </c>
      <c r="F16" s="289">
        <v>44500</v>
      </c>
      <c r="G16" s="211">
        <v>0</v>
      </c>
      <c r="H16" s="212">
        <f>G16*20</f>
        <v>0</v>
      </c>
      <c r="I16" s="229" t="e">
        <f>G16+L16</f>
        <v>#DIV/0!</v>
      </c>
      <c r="J16" s="230" t="e">
        <f>H16+M16</f>
        <v>#DIV/0!</v>
      </c>
      <c r="K16" s="231" t="str">
        <f>E16</f>
        <v>Isol8 B</v>
      </c>
      <c r="L16" s="209" t="e">
        <f>'ICP Value Comparison'!N14</f>
        <v>#DIV/0!</v>
      </c>
      <c r="M16" s="209" t="e">
        <f>L16*20</f>
        <v>#DIV/0!</v>
      </c>
      <c r="O16" s="279" t="s">
        <v>170</v>
      </c>
      <c r="P16" s="157" t="s">
        <v>169</v>
      </c>
      <c r="Q16" s="158"/>
      <c r="R16" s="158"/>
      <c r="S16" s="155">
        <f>S15/2</f>
        <v>0.5</v>
      </c>
      <c r="T16" s="156" t="s">
        <v>168</v>
      </c>
    </row>
    <row r="17" spans="1:20" ht="16" customHeight="1" thickBot="1">
      <c r="A17" s="222"/>
      <c r="B17" s="221"/>
      <c r="C17" s="221"/>
      <c r="D17" s="277"/>
      <c r="E17" s="272"/>
      <c r="F17" s="289"/>
      <c r="G17" s="204"/>
      <c r="H17" s="205"/>
      <c r="I17" s="229"/>
      <c r="J17" s="230"/>
      <c r="K17" s="228"/>
      <c r="L17" s="209"/>
      <c r="M17" s="209"/>
      <c r="O17" s="280"/>
      <c r="P17" s="239"/>
      <c r="Q17" s="239"/>
      <c r="R17" s="239"/>
      <c r="S17" s="240"/>
      <c r="T17" s="241"/>
    </row>
    <row r="18" spans="1:20">
      <c r="A18" s="222" t="s">
        <v>88</v>
      </c>
      <c r="B18" s="221" t="s">
        <v>6</v>
      </c>
      <c r="C18" s="248" t="e">
        <f>IF('Input Values'!F43&gt;0,"Elevated by","Deficient by")</f>
        <v>#DIV/0!</v>
      </c>
      <c r="D18" s="276" t="e">
        <f>'Input Values'!F43</f>
        <v>#DIV/0!</v>
      </c>
      <c r="E18" s="272" t="s">
        <v>45</v>
      </c>
      <c r="F18" s="289">
        <v>100000</v>
      </c>
      <c r="G18" s="211">
        <v>0</v>
      </c>
      <c r="H18" s="212">
        <f>G18*20</f>
        <v>0</v>
      </c>
      <c r="I18" s="229" t="e">
        <f>G18+L18</f>
        <v>#DIV/0!</v>
      </c>
      <c r="J18" s="230" t="e">
        <f>H18+M18</f>
        <v>#DIV/0!</v>
      </c>
      <c r="K18" s="231" t="str">
        <f>E18</f>
        <v>Isol8 Br</v>
      </c>
      <c r="L18" s="210" t="e">
        <f>'ICP Value Comparison'!N22</f>
        <v>#DIV/0!</v>
      </c>
      <c r="M18" s="209" t="e">
        <f>L18*20</f>
        <v>#DIV/0!</v>
      </c>
      <c r="N18" s="208"/>
      <c r="O18" s="281" t="s">
        <v>171</v>
      </c>
      <c r="P18" s="162" t="s">
        <v>172</v>
      </c>
      <c r="Q18" s="163"/>
      <c r="R18" s="163"/>
      <c r="S18" s="235" t="s">
        <v>65</v>
      </c>
      <c r="T18" s="236" t="s">
        <v>213</v>
      </c>
    </row>
    <row r="19" spans="1:20">
      <c r="A19" s="222"/>
      <c r="B19" s="221"/>
      <c r="C19" s="248"/>
      <c r="D19" s="277"/>
      <c r="E19" s="272"/>
      <c r="F19" s="289"/>
      <c r="G19" s="206"/>
      <c r="H19" s="207"/>
      <c r="I19" s="229"/>
      <c r="J19" s="230"/>
      <c r="K19" s="228"/>
      <c r="L19" s="210"/>
      <c r="M19" s="210"/>
      <c r="O19" s="282"/>
      <c r="P19" s="119"/>
      <c r="Q19" s="119"/>
      <c r="R19" s="237" t="str">
        <f>E22</f>
        <v>Isol8 Cr</v>
      </c>
      <c r="S19" s="245" t="e">
        <f>IF(J22&gt;0,(J22*$S$14/20),"0")</f>
        <v>#DIV/0!</v>
      </c>
      <c r="T19" s="203" t="e">
        <f>IF(J22&gt;0,ROUNDUP(J22*$S$14,0),"0")</f>
        <v>#DIV/0!</v>
      </c>
    </row>
    <row r="20" spans="1:20">
      <c r="A20" s="222" t="s">
        <v>89</v>
      </c>
      <c r="B20" s="221" t="s">
        <v>7</v>
      </c>
      <c r="C20" s="248" t="e">
        <f>IF('Input Values'!F44&gt;0,"Elevated by","Deficient by")</f>
        <v>#DIV/0!</v>
      </c>
      <c r="D20" s="276" t="e">
        <f>'Input Values'!F44</f>
        <v>#DIV/0!</v>
      </c>
      <c r="E20" s="272" t="s">
        <v>151</v>
      </c>
      <c r="F20" s="289">
        <v>150250</v>
      </c>
      <c r="G20" s="211">
        <v>0</v>
      </c>
      <c r="H20" s="212">
        <f>G20*20</f>
        <v>0</v>
      </c>
      <c r="I20" s="229" t="e">
        <f>G20+L20</f>
        <v>#DIV/0!</v>
      </c>
      <c r="J20" s="230" t="e">
        <f>H20+M20</f>
        <v>#DIV/0!</v>
      </c>
      <c r="K20" s="231" t="str">
        <f>E20</f>
        <v>Isol8 Ca</v>
      </c>
      <c r="L20" s="210" t="e">
        <f>'ICP Value Comparison'!N24</f>
        <v>#DIV/0!</v>
      </c>
      <c r="M20" s="209" t="e">
        <f>L20*20</f>
        <v>#DIV/0!</v>
      </c>
      <c r="N20" s="208"/>
      <c r="O20" s="202"/>
      <c r="P20" s="119"/>
      <c r="Q20" s="119"/>
      <c r="R20" s="237" t="str">
        <f>E24</f>
        <v>Isol8 Co</v>
      </c>
      <c r="S20" s="245" t="e">
        <f>IF(J24&gt;0,(J24*$S$14/20),"0")</f>
        <v>#DIV/0!</v>
      </c>
      <c r="T20" s="203" t="e">
        <f>IF(J24&gt;0,ROUNDUP(J24*$S$14,0),"0")</f>
        <v>#DIV/0!</v>
      </c>
    </row>
    <row r="21" spans="1:20">
      <c r="A21" s="222"/>
      <c r="B21" s="221"/>
      <c r="C21" s="248"/>
      <c r="D21" s="277"/>
      <c r="E21" s="272"/>
      <c r="F21" s="289"/>
      <c r="G21" s="206"/>
      <c r="H21" s="207"/>
      <c r="I21" s="229"/>
      <c r="J21" s="230"/>
      <c r="K21" s="228"/>
      <c r="L21" s="210"/>
      <c r="M21" s="210"/>
      <c r="O21" s="202"/>
      <c r="P21" s="119"/>
      <c r="Q21" s="119"/>
      <c r="R21" s="237" t="str">
        <f>E26</f>
        <v>Isol8 Cu</v>
      </c>
      <c r="S21" s="245" t="e">
        <f>IF(J26&gt;0,(J26*$S$14/20),"0")</f>
        <v>#DIV/0!</v>
      </c>
      <c r="T21" s="203" t="e">
        <f>IF(J26&gt;0,ROUNDUP(J26*$S$14,0),"0")</f>
        <v>#DIV/0!</v>
      </c>
    </row>
    <row r="22" spans="1:20">
      <c r="A22" s="222" t="s">
        <v>215</v>
      </c>
      <c r="B22" s="221" t="s">
        <v>11</v>
      </c>
      <c r="C22" s="248" t="e">
        <f>IF('Input Values'!F48&gt;0,"Elevated by","Deficient by")</f>
        <v>#DIV/0!</v>
      </c>
      <c r="D22" s="276" t="e">
        <f>'Input Values'!F48</f>
        <v>#DIV/0!</v>
      </c>
      <c r="E22" s="272" t="s">
        <v>150</v>
      </c>
      <c r="F22" s="289">
        <v>1000</v>
      </c>
      <c r="G22" s="213">
        <f>H22/20</f>
        <v>0</v>
      </c>
      <c r="H22" s="214">
        <v>0</v>
      </c>
      <c r="I22" s="229" t="e">
        <f>G22+L22</f>
        <v>#DIV/0!</v>
      </c>
      <c r="J22" s="230" t="e">
        <f>H22+M22</f>
        <v>#DIV/0!</v>
      </c>
      <c r="K22" s="231" t="str">
        <f>E22</f>
        <v>Isol8 Cr</v>
      </c>
      <c r="L22" s="209" t="e">
        <f>'ICP Value Comparison'!N32</f>
        <v>#DIV/0!</v>
      </c>
      <c r="M22" s="209" t="e">
        <f>L22*20</f>
        <v>#DIV/0!</v>
      </c>
      <c r="N22" s="208"/>
      <c r="O22" s="202"/>
      <c r="P22" s="119"/>
      <c r="Q22" s="119"/>
      <c r="R22" s="237" t="str">
        <f>E30</f>
        <v>Isol8 I</v>
      </c>
      <c r="S22" s="245" t="e">
        <f>IF(J30&gt;0,(J30*$S$14/20),"0")</f>
        <v>#DIV/0!</v>
      </c>
      <c r="T22" s="203" t="e">
        <f>IF(J30&gt;0,ROUNDUP(J30*$S$14,0),"0")</f>
        <v>#DIV/0!</v>
      </c>
    </row>
    <row r="23" spans="1:20">
      <c r="A23" s="222"/>
      <c r="B23" s="221"/>
      <c r="C23" s="248"/>
      <c r="D23" s="277"/>
      <c r="E23" s="272"/>
      <c r="F23" s="289"/>
      <c r="G23" s="204"/>
      <c r="H23" s="205"/>
      <c r="I23" s="229"/>
      <c r="J23" s="230"/>
      <c r="K23" s="228"/>
      <c r="L23" s="209"/>
      <c r="M23" s="209"/>
      <c r="O23" s="202"/>
      <c r="P23" s="119"/>
      <c r="Q23" s="119"/>
      <c r="R23" s="237" t="str">
        <f>E32</f>
        <v>Isol8 Fe</v>
      </c>
      <c r="S23" s="245" t="e">
        <f>IF(J32&gt;0,(J32*$S$14/20),"0")</f>
        <v>#DIV/0!</v>
      </c>
      <c r="T23" s="203" t="e">
        <f>IF(J32&gt;0,ROUNDUP(J32*$S$14,0),"0")</f>
        <v>#DIV/0!</v>
      </c>
    </row>
    <row r="24" spans="1:20">
      <c r="A24" s="222" t="s">
        <v>157</v>
      </c>
      <c r="B24" s="221" t="s">
        <v>10</v>
      </c>
      <c r="C24" s="248" t="e">
        <f>IF('Input Values'!F47&gt;0,"Elevated by","Deficient by")</f>
        <v>#DIV/0!</v>
      </c>
      <c r="D24" s="276" t="e">
        <f>'Input Values'!F47</f>
        <v>#DIV/0!</v>
      </c>
      <c r="E24" s="273" t="s">
        <v>46</v>
      </c>
      <c r="F24" s="290">
        <v>1000</v>
      </c>
      <c r="G24" s="213">
        <f>H24/20</f>
        <v>0</v>
      </c>
      <c r="H24" s="214">
        <v>0</v>
      </c>
      <c r="I24" s="229" t="e">
        <f>G24+L24</f>
        <v>#DIV/0!</v>
      </c>
      <c r="J24" s="230" t="e">
        <f>H24+M24</f>
        <v>#DIV/0!</v>
      </c>
      <c r="K24" s="231" t="str">
        <f>E24</f>
        <v>Isol8 Co</v>
      </c>
      <c r="L24" s="118" t="e">
        <f>IF(D24&lt;0,'ICP Value Comparison'!N30*2, 'ICP Value Comparison'!N30)</f>
        <v>#DIV/0!</v>
      </c>
      <c r="M24" s="118" t="e">
        <f>L24*20</f>
        <v>#DIV/0!</v>
      </c>
      <c r="N24" s="208"/>
      <c r="O24" s="202"/>
      <c r="P24" s="119"/>
      <c r="Q24" s="119"/>
      <c r="R24" s="237" t="str">
        <f>E36</f>
        <v>Isol8 Mn</v>
      </c>
      <c r="S24" s="245" t="e">
        <f>IF(J36&gt;0,(J36*$S$14/20),"0")</f>
        <v>#DIV/0!</v>
      </c>
      <c r="T24" s="203" t="e">
        <f>IF(J36&gt;0,ROUNDUP(J36*$S$14,0),"0")</f>
        <v>#DIV/0!</v>
      </c>
    </row>
    <row r="25" spans="1:20">
      <c r="A25" s="222"/>
      <c r="B25" s="221"/>
      <c r="C25" s="248"/>
      <c r="D25" s="277"/>
      <c r="E25" s="273"/>
      <c r="F25" s="290"/>
      <c r="G25" s="204"/>
      <c r="H25" s="205"/>
      <c r="I25" s="229"/>
      <c r="J25" s="230"/>
      <c r="K25" s="228"/>
      <c r="L25" s="209"/>
      <c r="M25" s="209"/>
      <c r="O25" s="202"/>
      <c r="P25" s="119"/>
      <c r="Q25" s="119"/>
      <c r="R25" s="237" t="str">
        <f>E38</f>
        <v>Isol8 Mo</v>
      </c>
      <c r="S25" s="245" t="e">
        <f>IF(J38&gt;0,(J38*$S$14/20),"0")</f>
        <v>#DIV/0!</v>
      </c>
      <c r="T25" s="203" t="e">
        <f>IF(J38&gt;0,ROUNDUP(J38*$S$14,0),"0")</f>
        <v>#DIV/0!</v>
      </c>
    </row>
    <row r="26" spans="1:20">
      <c r="A26" s="222" t="s">
        <v>158</v>
      </c>
      <c r="B26" s="221" t="s">
        <v>13</v>
      </c>
      <c r="C26" s="248" t="e">
        <f>IF('Input Values'!F50&gt;0,"Elevated by","Deficient by")</f>
        <v>#DIV/0!</v>
      </c>
      <c r="D26" s="276" t="e">
        <f>'Input Values'!F50</f>
        <v>#DIV/0!</v>
      </c>
      <c r="E26" s="272" t="s">
        <v>47</v>
      </c>
      <c r="F26" s="289">
        <v>60560</v>
      </c>
      <c r="G26" s="213">
        <f>H26/20</f>
        <v>0</v>
      </c>
      <c r="H26" s="214">
        <v>0</v>
      </c>
      <c r="I26" s="229" t="e">
        <f>G26+L26</f>
        <v>#DIV/0!</v>
      </c>
      <c r="J26" s="230" t="e">
        <f>H26+M26</f>
        <v>#DIV/0!</v>
      </c>
      <c r="K26" s="231" t="str">
        <f>E26</f>
        <v>Isol8 Cu</v>
      </c>
      <c r="L26" s="209" t="e">
        <f>'ICP Value Comparison'!N36</f>
        <v>#DIV/0!</v>
      </c>
      <c r="M26" s="209" t="e">
        <f>L26*20</f>
        <v>#DIV/0!</v>
      </c>
      <c r="N26" s="208"/>
      <c r="O26" s="202"/>
      <c r="P26" s="119"/>
      <c r="Q26" s="119"/>
      <c r="R26" s="237" t="str">
        <f>E40</f>
        <v>Isol8 Ni</v>
      </c>
      <c r="S26" s="245" t="e">
        <f>IF(J40&gt;0,(J40*$S$14/20),"0")</f>
        <v>#DIV/0!</v>
      </c>
      <c r="T26" s="203" t="e">
        <f>IF(J40&gt;0,ROUNDUP(J40*$S$14,0),"0")</f>
        <v>#DIV/0!</v>
      </c>
    </row>
    <row r="27" spans="1:20">
      <c r="A27" s="222"/>
      <c r="B27" s="221"/>
      <c r="C27" s="248"/>
      <c r="D27" s="277"/>
      <c r="E27" s="272"/>
      <c r="F27" s="289"/>
      <c r="G27" s="204"/>
      <c r="H27" s="205"/>
      <c r="I27" s="229"/>
      <c r="J27" s="230"/>
      <c r="K27" s="228"/>
      <c r="L27" s="209"/>
      <c r="M27" s="209"/>
      <c r="O27" s="202"/>
      <c r="P27" s="119"/>
      <c r="Q27" s="119"/>
      <c r="R27" s="237" t="s">
        <v>55</v>
      </c>
      <c r="S27" s="245" t="e">
        <f>IF(J44&gt;0,(J44*$S$14/20),"0")</f>
        <v>#DIV/0!</v>
      </c>
      <c r="T27" s="203" t="e">
        <f>IF(J44&gt;0,ROUNDUP(J44*$S$14,0),"0")</f>
        <v>#DIV/0!</v>
      </c>
    </row>
    <row r="28" spans="1:20">
      <c r="A28" s="222" t="s">
        <v>95</v>
      </c>
      <c r="B28" s="221" t="s">
        <v>61</v>
      </c>
      <c r="C28" s="248" t="e">
        <f>IF('Input Values'!F51&gt;0,"Elevated by","Deficient by")</f>
        <v>#DIV/0!</v>
      </c>
      <c r="D28" s="276" t="e">
        <f>'Input Values'!F51</f>
        <v>#DIV/0!</v>
      </c>
      <c r="E28" s="272" t="s">
        <v>62</v>
      </c>
      <c r="F28" s="289">
        <v>10000</v>
      </c>
      <c r="G28" s="213">
        <f>H28/20</f>
        <v>0</v>
      </c>
      <c r="H28" s="214">
        <v>0</v>
      </c>
      <c r="I28" s="229" t="e">
        <f>G28+L28</f>
        <v>#DIV/0!</v>
      </c>
      <c r="J28" s="230" t="e">
        <f>H28+M28</f>
        <v>#DIV/0!</v>
      </c>
      <c r="K28" s="231" t="str">
        <f>E28</f>
        <v>Isol8 F</v>
      </c>
      <c r="L28" s="209" t="e">
        <f>'ICP Value Comparison'!N38</f>
        <v>#DIV/0!</v>
      </c>
      <c r="M28" s="209" t="e">
        <f>L28*20</f>
        <v>#DIV/0!</v>
      </c>
      <c r="N28" s="208"/>
      <c r="O28" s="202"/>
      <c r="P28" s="119"/>
      <c r="Q28" s="119"/>
      <c r="R28" s="237" t="str">
        <f>E46</f>
        <v>Isol8 Se</v>
      </c>
      <c r="S28" s="245" t="e">
        <f>IF(J46&gt;0,(J46*$S$14/20),"")</f>
        <v>#DIV/0!</v>
      </c>
      <c r="T28" s="203" t="e">
        <f>IF(J46&gt;0,ROUNDUP(J46*$S$14,0),"0")</f>
        <v>#DIV/0!</v>
      </c>
    </row>
    <row r="29" spans="1:20">
      <c r="A29" s="222"/>
      <c r="B29" s="221"/>
      <c r="C29" s="248"/>
      <c r="D29" s="277"/>
      <c r="E29" s="272"/>
      <c r="F29" s="289"/>
      <c r="G29" s="204"/>
      <c r="H29" s="205"/>
      <c r="I29" s="229"/>
      <c r="J29" s="230"/>
      <c r="K29" s="228"/>
      <c r="L29" s="209"/>
      <c r="M29" s="209"/>
      <c r="O29" s="202"/>
      <c r="P29" s="119"/>
      <c r="Q29" s="119"/>
      <c r="R29" s="237" t="str">
        <f>E52</f>
        <v>Isol8 V</v>
      </c>
      <c r="S29" s="245" t="e">
        <f>IF(J52&gt;0,(J52*$S$14/20),"0")</f>
        <v>#DIV/0!</v>
      </c>
      <c r="T29" s="203" t="e">
        <f>IF(J52&gt;0,ROUNDUP(J52*$S$14,0),"0")</f>
        <v>#DIV/0!</v>
      </c>
    </row>
    <row r="30" spans="1:20" ht="16" thickBot="1">
      <c r="A30" s="222" t="s">
        <v>217</v>
      </c>
      <c r="B30" s="221" t="s">
        <v>16</v>
      </c>
      <c r="C30" s="248" t="e">
        <f>IF('Input Values'!F54&gt;0,"Elevated by","Deficient by")</f>
        <v>#DIV/0!</v>
      </c>
      <c r="D30" s="276" t="e">
        <f>'Input Values'!F54</f>
        <v>#DIV/0!</v>
      </c>
      <c r="E30" s="272" t="s">
        <v>49</v>
      </c>
      <c r="F30" s="289">
        <v>100000</v>
      </c>
      <c r="G30" s="213">
        <f>H30/20</f>
        <v>0</v>
      </c>
      <c r="H30" s="214">
        <v>0</v>
      </c>
      <c r="I30" s="229" t="e">
        <f>G30+L30</f>
        <v>#DIV/0!</v>
      </c>
      <c r="J30" s="230" t="e">
        <f>H30+M30</f>
        <v>#DIV/0!</v>
      </c>
      <c r="K30" s="231" t="str">
        <f>E30</f>
        <v>Isol8 I</v>
      </c>
      <c r="L30" s="209" t="e">
        <f>'ICP Value Comparison'!N44</f>
        <v>#DIV/0!</v>
      </c>
      <c r="M30" s="209" t="e">
        <f>L30*20</f>
        <v>#DIV/0!</v>
      </c>
      <c r="N30" s="208"/>
      <c r="O30" s="283"/>
      <c r="P30" s="90"/>
      <c r="Q30" s="90"/>
      <c r="R30" s="94" t="str">
        <f>E54</f>
        <v>Isol8 Zn</v>
      </c>
      <c r="S30" s="246" t="e">
        <f>IF(J54&gt;0,(J54*$S$14/20),"0")</f>
        <v>#DIV/0!</v>
      </c>
      <c r="T30" s="247" t="e">
        <f>IF(J54&gt;0,ROUNDUP(J54*$S$14,0),"0")</f>
        <v>#DIV/0!</v>
      </c>
    </row>
    <row r="31" spans="1:20" ht="15" customHeight="1">
      <c r="A31" s="222"/>
      <c r="B31" s="221"/>
      <c r="C31" s="248"/>
      <c r="D31" s="277"/>
      <c r="E31" s="272"/>
      <c r="F31" s="289"/>
      <c r="G31" s="204"/>
      <c r="H31" s="205"/>
      <c r="I31" s="229"/>
      <c r="J31" s="230"/>
      <c r="K31" s="228"/>
      <c r="L31" s="209"/>
      <c r="M31" s="209"/>
      <c r="O31" s="284" t="s">
        <v>173</v>
      </c>
      <c r="P31" s="242" t="s">
        <v>178</v>
      </c>
      <c r="Q31" s="242"/>
      <c r="R31" s="242"/>
      <c r="S31" s="243">
        <f>S15</f>
        <v>1</v>
      </c>
      <c r="T31" s="244" t="s">
        <v>168</v>
      </c>
    </row>
    <row r="32" spans="1:20" ht="16" customHeight="1" thickBot="1">
      <c r="A32" s="222" t="s">
        <v>159</v>
      </c>
      <c r="B32" s="221" t="s">
        <v>14</v>
      </c>
      <c r="C32" s="248" t="e">
        <f>IF('Input Values'!F52&gt;0,"Elevated by","Deficient by")</f>
        <v>#DIV/0!</v>
      </c>
      <c r="D32" s="276" t="e">
        <f>'Input Values'!F52</f>
        <v>#DIV/0!</v>
      </c>
      <c r="E32" s="273" t="s">
        <v>48</v>
      </c>
      <c r="F32" s="290">
        <v>10000</v>
      </c>
      <c r="G32" s="213">
        <f>H32/20</f>
        <v>0</v>
      </c>
      <c r="H32" s="214">
        <v>0</v>
      </c>
      <c r="I32" s="229" t="e">
        <f>G32+L32</f>
        <v>#DIV/0!</v>
      </c>
      <c r="J32" s="230" t="e">
        <f>H32+M32</f>
        <v>#DIV/0!</v>
      </c>
      <c r="K32" s="231" t="str">
        <f>E32</f>
        <v>Isol8 Fe</v>
      </c>
      <c r="L32" s="118" t="e">
        <f>IF(D32&lt;0,'ICP Value Comparison'!N40*10, 'ICP Value Comparison'!N40)</f>
        <v>#DIV/0!</v>
      </c>
      <c r="M32" s="118" t="e">
        <f>L32*20</f>
        <v>#DIV/0!</v>
      </c>
      <c r="N32" s="208"/>
      <c r="O32" s="285"/>
      <c r="P32" s="187"/>
      <c r="Q32" s="187"/>
      <c r="R32" s="187"/>
      <c r="S32" s="198"/>
      <c r="T32" s="197"/>
    </row>
    <row r="33" spans="1:20" ht="15" customHeight="1">
      <c r="A33" s="222"/>
      <c r="B33" s="221"/>
      <c r="C33" s="248"/>
      <c r="D33" s="277"/>
      <c r="E33" s="273"/>
      <c r="F33" s="290"/>
      <c r="G33" s="204"/>
      <c r="H33" s="205"/>
      <c r="I33" s="229"/>
      <c r="J33" s="230"/>
      <c r="K33" s="228"/>
      <c r="L33" s="209"/>
      <c r="M33" s="209"/>
      <c r="O33" s="279" t="s">
        <v>176</v>
      </c>
      <c r="P33" s="159" t="s">
        <v>187</v>
      </c>
      <c r="Q33" s="159"/>
      <c r="R33" s="159"/>
      <c r="S33" s="159"/>
      <c r="T33" s="192"/>
    </row>
    <row r="34" spans="1:20">
      <c r="A34" s="222" t="s">
        <v>102</v>
      </c>
      <c r="B34" s="221" t="s">
        <v>20</v>
      </c>
      <c r="C34" s="248" t="e">
        <f>IF('Input Values'!F58&gt;0,"Elevated by","Deficient by")</f>
        <v>#DIV/0!</v>
      </c>
      <c r="D34" s="276" t="e">
        <f>'Input Values'!F58</f>
        <v>#DIV/0!</v>
      </c>
      <c r="E34" s="273" t="s">
        <v>51</v>
      </c>
      <c r="F34" s="290">
        <v>100000</v>
      </c>
      <c r="G34" s="211">
        <v>0</v>
      </c>
      <c r="H34" s="212">
        <f>G34*20</f>
        <v>0</v>
      </c>
      <c r="I34" s="229" t="e">
        <f>G34+L34</f>
        <v>#DIV/0!</v>
      </c>
      <c r="J34" s="230" t="e">
        <f>H34+M34</f>
        <v>#DIV/0!</v>
      </c>
      <c r="K34" s="231" t="str">
        <f>E34</f>
        <v>Isol8 Mg</v>
      </c>
      <c r="L34" s="209" t="e">
        <f>'ICP Value Comparison'!N52</f>
        <v>#DIV/0!</v>
      </c>
      <c r="M34" s="209" t="e">
        <f>L34*20</f>
        <v>#DIV/0!</v>
      </c>
      <c r="N34" s="208"/>
      <c r="O34" s="286"/>
      <c r="P34" s="193"/>
      <c r="Q34" s="193"/>
      <c r="R34" s="193"/>
      <c r="S34" s="193"/>
      <c r="T34" s="194"/>
    </row>
    <row r="35" spans="1:20">
      <c r="A35" s="222"/>
      <c r="B35" s="221"/>
      <c r="C35" s="248"/>
      <c r="D35" s="277"/>
      <c r="E35" s="273"/>
      <c r="F35" s="290"/>
      <c r="G35" s="204"/>
      <c r="H35" s="205"/>
      <c r="I35" s="229"/>
      <c r="J35" s="230"/>
      <c r="K35" s="228"/>
      <c r="L35" s="209"/>
      <c r="M35" s="209"/>
      <c r="O35" s="286"/>
      <c r="P35" s="193"/>
      <c r="Q35" s="193"/>
      <c r="R35" s="193"/>
      <c r="S35" s="193"/>
      <c r="T35" s="194"/>
    </row>
    <row r="36" spans="1:20">
      <c r="A36" s="222" t="s">
        <v>160</v>
      </c>
      <c r="B36" s="221" t="s">
        <v>21</v>
      </c>
      <c r="C36" s="248" t="e">
        <f>IF('Input Values'!F59&gt;0,"Elevated by","Deficient by")</f>
        <v>#DIV/0!</v>
      </c>
      <c r="D36" s="276" t="e">
        <f>'Input Values'!F59</f>
        <v>#DIV/0!</v>
      </c>
      <c r="E36" s="273" t="s">
        <v>52</v>
      </c>
      <c r="F36" s="290">
        <v>1000</v>
      </c>
      <c r="G36" s="213">
        <f>H36/20</f>
        <v>0</v>
      </c>
      <c r="H36" s="214">
        <v>0</v>
      </c>
      <c r="I36" s="229" t="e">
        <f>G36+L36</f>
        <v>#DIV/0!</v>
      </c>
      <c r="J36" s="230" t="e">
        <f>H36+M36</f>
        <v>#DIV/0!</v>
      </c>
      <c r="K36" s="231" t="str">
        <f>E36</f>
        <v>Isol8 Mn</v>
      </c>
      <c r="L36" s="118" t="e">
        <f>IF(D36&lt;0,'ICP Value Comparison'!N54*5, 'ICP Value Comparison'!N54)</f>
        <v>#DIV/0!</v>
      </c>
      <c r="M36" s="118" t="e">
        <f>L36*20</f>
        <v>#DIV/0!</v>
      </c>
      <c r="N36" s="208"/>
      <c r="O36" s="286"/>
      <c r="P36" s="193"/>
      <c r="Q36" s="193"/>
      <c r="R36" s="193"/>
      <c r="S36" s="193"/>
      <c r="T36" s="194"/>
    </row>
    <row r="37" spans="1:20" ht="16" thickBot="1">
      <c r="A37" s="222"/>
      <c r="B37" s="221"/>
      <c r="C37" s="248"/>
      <c r="D37" s="277"/>
      <c r="E37" s="273"/>
      <c r="F37" s="290"/>
      <c r="G37" s="204"/>
      <c r="H37" s="205"/>
      <c r="I37" s="229"/>
      <c r="J37" s="230"/>
      <c r="K37" s="228"/>
      <c r="L37" s="209"/>
      <c r="M37" s="209"/>
      <c r="O37" s="287"/>
      <c r="P37" s="195"/>
      <c r="Q37" s="195"/>
      <c r="R37" s="195"/>
      <c r="S37" s="195"/>
      <c r="T37" s="196"/>
    </row>
    <row r="38" spans="1:20" ht="15" customHeight="1">
      <c r="A38" s="222" t="s">
        <v>161</v>
      </c>
      <c r="B38" s="221" t="s">
        <v>22</v>
      </c>
      <c r="C38" s="248" t="e">
        <f>IF('Input Values'!F60&gt;0,"Elevated by","Deficient by")</f>
        <v>#DIV/0!</v>
      </c>
      <c r="D38" s="276" t="e">
        <f>'Input Values'!F60</f>
        <v>#DIV/0!</v>
      </c>
      <c r="E38" s="272" t="s">
        <v>53</v>
      </c>
      <c r="F38" s="289">
        <v>10000</v>
      </c>
      <c r="G38" s="213">
        <f>H38/20</f>
        <v>0</v>
      </c>
      <c r="H38" s="214">
        <v>0</v>
      </c>
      <c r="I38" s="229" t="e">
        <f>G38+L38</f>
        <v>#DIV/0!</v>
      </c>
      <c r="J38" s="230" t="e">
        <f>H38+M38</f>
        <v>#DIV/0!</v>
      </c>
      <c r="K38" s="231" t="str">
        <f>E38</f>
        <v>Isol8 Mo</v>
      </c>
      <c r="L38" s="209" t="e">
        <f>'ICP Value Comparison'!N56</f>
        <v>#DIV/0!</v>
      </c>
      <c r="M38" s="209" t="e">
        <f>L38*20</f>
        <v>#DIV/0!</v>
      </c>
      <c r="N38" s="208"/>
      <c r="O38" s="279" t="s">
        <v>177</v>
      </c>
      <c r="P38" s="160" t="s">
        <v>179</v>
      </c>
      <c r="Q38" s="160"/>
      <c r="R38" s="160"/>
      <c r="S38" s="161">
        <f>ROUNDUP(S31*3785/S14,0)</f>
        <v>127</v>
      </c>
      <c r="T38" s="88"/>
    </row>
    <row r="39" spans="1:20">
      <c r="A39" s="222"/>
      <c r="B39" s="221"/>
      <c r="C39" s="248"/>
      <c r="D39" s="277"/>
      <c r="E39" s="272"/>
      <c r="F39" s="289"/>
      <c r="G39" s="204"/>
      <c r="H39" s="205"/>
      <c r="I39" s="229"/>
      <c r="J39" s="230"/>
      <c r="K39" s="228"/>
      <c r="L39" s="209"/>
      <c r="M39" s="209"/>
      <c r="O39" s="286"/>
      <c r="P39" s="190"/>
      <c r="Q39" s="190"/>
      <c r="R39" s="190"/>
      <c r="S39" s="188"/>
      <c r="T39" s="93" t="s">
        <v>65</v>
      </c>
    </row>
    <row r="40" spans="1:20" ht="16" thickBot="1">
      <c r="A40" s="222" t="s">
        <v>162</v>
      </c>
      <c r="B40" s="221" t="s">
        <v>24</v>
      </c>
      <c r="C40" s="248" t="e">
        <f>IF('Input Values'!F62&gt;0,"Elevated by","Deficient by")</f>
        <v>#DIV/0!</v>
      </c>
      <c r="D40" s="276" t="e">
        <f>'Input Values'!F62</f>
        <v>#DIV/0!</v>
      </c>
      <c r="E40" s="272" t="s">
        <v>54</v>
      </c>
      <c r="F40" s="289">
        <v>1000</v>
      </c>
      <c r="G40" s="213">
        <f>H40/20</f>
        <v>0</v>
      </c>
      <c r="H40" s="214">
        <v>0</v>
      </c>
      <c r="I40" s="229" t="e">
        <f>G40+L40</f>
        <v>#DIV/0!</v>
      </c>
      <c r="J40" s="230" t="e">
        <f>H40+M40</f>
        <v>#DIV/0!</v>
      </c>
      <c r="K40" s="231" t="str">
        <f>E40</f>
        <v>Isol8 Ni</v>
      </c>
      <c r="L40" s="209" t="e">
        <f>'ICP Value Comparison'!N60</f>
        <v>#DIV/0!</v>
      </c>
      <c r="M40" s="209" t="e">
        <f>L40*20</f>
        <v>#DIV/0!</v>
      </c>
      <c r="N40" s="208"/>
      <c r="O40" s="287"/>
      <c r="P40" s="191"/>
      <c r="Q40" s="191"/>
      <c r="R40" s="191"/>
      <c r="S40" s="189"/>
      <c r="T40" s="92"/>
    </row>
    <row r="41" spans="1:20">
      <c r="A41" s="222"/>
      <c r="B41" s="221"/>
      <c r="C41" s="248"/>
      <c r="D41" s="277"/>
      <c r="E41" s="272"/>
      <c r="F41" s="289"/>
      <c r="G41" s="204"/>
      <c r="H41" s="205"/>
      <c r="I41" s="229"/>
      <c r="J41" s="230"/>
      <c r="K41" s="228"/>
      <c r="L41" s="209"/>
      <c r="M41" s="209"/>
      <c r="P41" s="97"/>
      <c r="Q41" s="97"/>
      <c r="R41" s="97"/>
    </row>
    <row r="42" spans="1:20">
      <c r="A42" s="222" t="s">
        <v>100</v>
      </c>
      <c r="B42" s="221" t="s">
        <v>18</v>
      </c>
      <c r="C42" s="248" t="e">
        <f>IF('Input Values'!F56&gt;0,"Elevated by","Deficient by")</f>
        <v>#DIV/0!</v>
      </c>
      <c r="D42" s="276" t="e">
        <f>'Input Values'!F56</f>
        <v>#DIV/0!</v>
      </c>
      <c r="E42" s="272" t="s">
        <v>50</v>
      </c>
      <c r="F42" s="289">
        <v>100000</v>
      </c>
      <c r="G42" s="211">
        <v>0</v>
      </c>
      <c r="H42" s="212">
        <f>G42*20</f>
        <v>0</v>
      </c>
      <c r="I42" s="229" t="e">
        <f>G42+L42</f>
        <v>#DIV/0!</v>
      </c>
      <c r="J42" s="230" t="e">
        <f>H42+M42</f>
        <v>#DIV/0!</v>
      </c>
      <c r="K42" s="231" t="str">
        <f>E42</f>
        <v>Isol8 K</v>
      </c>
      <c r="L42" s="209" t="e">
        <f>'ICP Value Comparison'!N48</f>
        <v>#DIV/0!</v>
      </c>
      <c r="M42" s="209" t="e">
        <f>L42*20</f>
        <v>#DIV/0!</v>
      </c>
      <c r="N42" s="208"/>
    </row>
    <row r="43" spans="1:20">
      <c r="A43" s="222"/>
      <c r="B43" s="221"/>
      <c r="C43" s="248"/>
      <c r="D43" s="277"/>
      <c r="E43" s="272"/>
      <c r="F43" s="289"/>
      <c r="G43" s="204"/>
      <c r="H43" s="205"/>
      <c r="I43" s="229"/>
      <c r="J43" s="230"/>
      <c r="K43" s="228"/>
      <c r="L43" s="209"/>
      <c r="M43" s="209"/>
    </row>
    <row r="44" spans="1:20">
      <c r="A44" s="222" t="s">
        <v>219</v>
      </c>
      <c r="B44" s="221" t="s">
        <v>26</v>
      </c>
      <c r="C44" s="248" t="e">
        <f>IF('Input Values'!F64&gt;0,"Elevated by","Deficient by")</f>
        <v>#DIV/0!</v>
      </c>
      <c r="D44" s="276" t="e">
        <f>'Input Values'!F64</f>
        <v>#DIV/0!</v>
      </c>
      <c r="E44" s="273" t="s">
        <v>55</v>
      </c>
      <c r="F44" s="290">
        <v>10000</v>
      </c>
      <c r="G44" s="213">
        <f>H44/20</f>
        <v>0</v>
      </c>
      <c r="H44" s="214">
        <v>0</v>
      </c>
      <c r="I44" s="229" t="e">
        <f>G44+L44</f>
        <v>#DIV/0!</v>
      </c>
      <c r="J44" s="230" t="e">
        <f>H44+M44</f>
        <v>#DIV/0!</v>
      </c>
      <c r="K44" s="231" t="str">
        <f>E44</f>
        <v>Isol8 Rb</v>
      </c>
      <c r="L44" s="209" t="e">
        <f>'ICP Value Comparison'!N64</f>
        <v>#DIV/0!</v>
      </c>
      <c r="M44" s="209" t="e">
        <f>L44*20</f>
        <v>#DIV/0!</v>
      </c>
      <c r="N44" s="208"/>
    </row>
    <row r="45" spans="1:20">
      <c r="A45" s="222"/>
      <c r="B45" s="221"/>
      <c r="C45" s="248"/>
      <c r="D45" s="277"/>
      <c r="E45" s="273"/>
      <c r="F45" s="290"/>
      <c r="G45" s="204"/>
      <c r="H45" s="205"/>
      <c r="I45" s="229"/>
      <c r="J45" s="230"/>
      <c r="K45" s="228"/>
      <c r="L45" s="209"/>
      <c r="M45" s="209"/>
    </row>
    <row r="46" spans="1:20">
      <c r="A46" s="222" t="s">
        <v>163</v>
      </c>
      <c r="B46" s="221" t="s">
        <v>28</v>
      </c>
      <c r="C46" s="248" t="e">
        <f>IF('Input Values'!F66&gt;0,"Elevated by","Deficient by")</f>
        <v>#DIV/0!</v>
      </c>
      <c r="D46" s="276" t="e">
        <f>'Input Values'!F66</f>
        <v>#DIV/0!</v>
      </c>
      <c r="E46" s="273" t="s">
        <v>56</v>
      </c>
      <c r="F46" s="290">
        <v>250</v>
      </c>
      <c r="G46" s="213">
        <f>H46/20</f>
        <v>0</v>
      </c>
      <c r="H46" s="214">
        <v>0</v>
      </c>
      <c r="I46" s="229" t="e">
        <f>G46+L46</f>
        <v>#DIV/0!</v>
      </c>
      <c r="J46" s="230" t="e">
        <f>H46+M46</f>
        <v>#DIV/0!</v>
      </c>
      <c r="K46" s="231" t="str">
        <f>E46</f>
        <v>Isol8 Se</v>
      </c>
      <c r="L46" s="209" t="e">
        <f>'ICP Value Comparison'!N68</f>
        <v>#DIV/0!</v>
      </c>
      <c r="M46" s="209" t="e">
        <f>L46*20</f>
        <v>#DIV/0!</v>
      </c>
      <c r="N46" s="208"/>
    </row>
    <row r="47" spans="1:20">
      <c r="A47" s="222"/>
      <c r="B47" s="221"/>
      <c r="C47" s="248"/>
      <c r="D47" s="277"/>
      <c r="E47" s="273"/>
      <c r="F47" s="290"/>
      <c r="G47" s="204"/>
      <c r="H47" s="205"/>
      <c r="I47" s="229"/>
      <c r="J47" s="230"/>
      <c r="K47" s="228"/>
      <c r="L47" s="209"/>
      <c r="M47" s="209"/>
    </row>
    <row r="48" spans="1:20">
      <c r="A48" s="222" t="s">
        <v>111</v>
      </c>
      <c r="B48" s="221" t="s">
        <v>29</v>
      </c>
      <c r="C48" s="248" t="e">
        <f>IF('Input Values'!F67&gt;0,"Elevated by","Deficient by")</f>
        <v>#DIV/0!</v>
      </c>
      <c r="D48" s="276" t="e">
        <f>'Input Values'!F67</f>
        <v>#DIV/0!</v>
      </c>
      <c r="E48" s="273" t="s">
        <v>57</v>
      </c>
      <c r="F48" s="290">
        <v>10000</v>
      </c>
      <c r="G48" s="213">
        <f>H48/20</f>
        <v>0</v>
      </c>
      <c r="H48" s="214">
        <v>0</v>
      </c>
      <c r="I48" s="229" t="e">
        <f>G48+L48</f>
        <v>#DIV/0!</v>
      </c>
      <c r="J48" s="230" t="e">
        <f>H48+M48</f>
        <v>#DIV/0!</v>
      </c>
      <c r="K48" s="231" t="str">
        <f>E48</f>
        <v>Isol8 Si</v>
      </c>
      <c r="L48" s="209" t="e">
        <f>'ICP Value Comparison'!N70</f>
        <v>#DIV/0!</v>
      </c>
      <c r="M48" s="209" t="e">
        <f>L48*20</f>
        <v>#DIV/0!</v>
      </c>
      <c r="N48" s="208"/>
    </row>
    <row r="49" spans="1:14">
      <c r="A49" s="222"/>
      <c r="B49" s="221"/>
      <c r="C49" s="248"/>
      <c r="D49" s="277"/>
      <c r="E49" s="273"/>
      <c r="F49" s="290"/>
      <c r="G49" s="204"/>
      <c r="H49" s="205"/>
      <c r="I49" s="229"/>
      <c r="J49" s="230"/>
      <c r="K49" s="228"/>
      <c r="L49" s="209"/>
      <c r="M49" s="209"/>
    </row>
    <row r="50" spans="1:14">
      <c r="A50" s="222" t="s">
        <v>112</v>
      </c>
      <c r="B50" s="221" t="s">
        <v>30</v>
      </c>
      <c r="C50" s="248" t="e">
        <f>IF('Input Values'!F68&gt;0,"Elevated by","Deficient by")</f>
        <v>#DIV/0!</v>
      </c>
      <c r="D50" s="276" t="e">
        <f>'Input Values'!F68</f>
        <v>#DIV/0!</v>
      </c>
      <c r="E50" s="273" t="s">
        <v>58</v>
      </c>
      <c r="F50" s="290">
        <v>100000</v>
      </c>
      <c r="G50" s="211">
        <v>0</v>
      </c>
      <c r="H50" s="212">
        <f>G50*20</f>
        <v>0</v>
      </c>
      <c r="I50" s="229" t="e">
        <f>G50+L50</f>
        <v>#DIV/0!</v>
      </c>
      <c r="J50" s="230" t="e">
        <f>H50+M50</f>
        <v>#DIV/0!</v>
      </c>
      <c r="K50" s="231" t="str">
        <f>E50</f>
        <v>Isol8 Sr</v>
      </c>
      <c r="L50" s="209" t="e">
        <f>'ICP Value Comparison'!N72</f>
        <v>#DIV/0!</v>
      </c>
      <c r="M50" s="209" t="e">
        <f>L50*20</f>
        <v>#DIV/0!</v>
      </c>
      <c r="N50" s="208"/>
    </row>
    <row r="51" spans="1:14">
      <c r="A51" s="222"/>
      <c r="B51" s="221"/>
      <c r="C51" s="248"/>
      <c r="D51" s="277"/>
      <c r="E51" s="273"/>
      <c r="F51" s="290"/>
      <c r="G51" s="204"/>
      <c r="H51" s="205"/>
      <c r="I51" s="229"/>
      <c r="J51" s="230"/>
      <c r="K51" s="228"/>
      <c r="L51" s="209"/>
      <c r="M51" s="209"/>
    </row>
    <row r="52" spans="1:14">
      <c r="A52" s="222" t="s">
        <v>218</v>
      </c>
      <c r="B52" s="221" t="s">
        <v>32</v>
      </c>
      <c r="C52" s="248" t="e">
        <f>IF('Input Values'!F71&gt;0,"Elevated by","Deficient by")</f>
        <v>#DIV/0!</v>
      </c>
      <c r="D52" s="276" t="e">
        <f>'Input Values'!F71</f>
        <v>#DIV/0!</v>
      </c>
      <c r="E52" s="273" t="s">
        <v>59</v>
      </c>
      <c r="F52" s="290">
        <v>1000</v>
      </c>
      <c r="G52" s="213">
        <f>H52/20</f>
        <v>0</v>
      </c>
      <c r="H52" s="214">
        <v>0</v>
      </c>
      <c r="I52" s="229" t="e">
        <f>G52+L52</f>
        <v>#DIV/0!</v>
      </c>
      <c r="J52" s="230" t="e">
        <f>H52+M52</f>
        <v>#DIV/0!</v>
      </c>
      <c r="K52" s="231" t="str">
        <f>E52</f>
        <v>Isol8 V</v>
      </c>
      <c r="L52" s="209" t="e">
        <f>'ICP Value Comparison'!N78</f>
        <v>#DIV/0!</v>
      </c>
      <c r="M52" s="209" t="e">
        <f>L52*20</f>
        <v>#DIV/0!</v>
      </c>
      <c r="N52" s="208"/>
    </row>
    <row r="53" spans="1:14">
      <c r="A53" s="222"/>
      <c r="B53" s="221"/>
      <c r="C53" s="248"/>
      <c r="D53" s="277"/>
      <c r="E53" s="273"/>
      <c r="F53" s="290"/>
      <c r="G53" s="204"/>
      <c r="H53" s="205"/>
      <c r="I53" s="229"/>
      <c r="J53" s="230"/>
      <c r="K53" s="228"/>
      <c r="L53" s="119"/>
      <c r="M53" s="119"/>
    </row>
    <row r="54" spans="1:14" ht="16" thickBot="1">
      <c r="A54" s="223" t="s">
        <v>164</v>
      </c>
      <c r="B54" s="224" t="s">
        <v>33</v>
      </c>
      <c r="C54" s="250" t="e">
        <f>IF('Input Values'!F72&gt;0,"Elevated by","Deficient by")</f>
        <v>#DIV/0!</v>
      </c>
      <c r="D54" s="278" t="e">
        <f>'Input Values'!F72</f>
        <v>#DIV/0!</v>
      </c>
      <c r="E54" s="274" t="s">
        <v>60</v>
      </c>
      <c r="F54" s="291">
        <v>1000</v>
      </c>
      <c r="G54" s="215">
        <f>H54/20</f>
        <v>0</v>
      </c>
      <c r="H54" s="216">
        <v>0</v>
      </c>
      <c r="I54" s="232" t="e">
        <f>G54+L54</f>
        <v>#DIV/0!</v>
      </c>
      <c r="J54" s="233" t="e">
        <f>H54+M54</f>
        <v>#DIV/0!</v>
      </c>
      <c r="K54" s="234" t="str">
        <f>E54</f>
        <v>Isol8 Zn</v>
      </c>
      <c r="L54" s="119" t="e">
        <f>'ICP Value Comparison'!N80</f>
        <v>#DIV/0!</v>
      </c>
      <c r="M54" s="209" t="e">
        <f>L54*20</f>
        <v>#DIV/0!</v>
      </c>
      <c r="N54" s="208"/>
    </row>
    <row r="55" spans="1:14">
      <c r="A55" s="119"/>
      <c r="B55" s="119"/>
      <c r="C55" s="119"/>
      <c r="D55" s="119"/>
      <c r="E55" s="186"/>
      <c r="F55" s="186"/>
      <c r="G55" s="186"/>
      <c r="H55" s="186"/>
      <c r="I55" s="186"/>
      <c r="J55" s="186"/>
      <c r="K55" s="186"/>
      <c r="L55" s="209"/>
      <c r="M55" s="209"/>
    </row>
    <row r="56" spans="1:14" ht="16" thickBot="1">
      <c r="A56" s="1"/>
      <c r="B56" s="7"/>
      <c r="C56" s="7"/>
      <c r="D56" s="95"/>
      <c r="E56" s="72"/>
      <c r="F56" s="72"/>
      <c r="G56" s="102"/>
    </row>
    <row r="57" spans="1:14" ht="16">
      <c r="A57" s="149" t="s">
        <v>223</v>
      </c>
      <c r="B57" s="150"/>
      <c r="C57" s="150"/>
      <c r="D57" s="150"/>
      <c r="E57" s="150"/>
      <c r="F57" s="150"/>
      <c r="G57" s="151"/>
      <c r="H57" s="184"/>
      <c r="I57" s="184"/>
      <c r="J57" s="184"/>
      <c r="K57" s="184"/>
    </row>
    <row r="58" spans="1:14" ht="16">
      <c r="A58" s="152"/>
      <c r="B58" s="256"/>
      <c r="C58" s="256"/>
      <c r="D58" s="256"/>
      <c r="E58" s="256"/>
      <c r="F58" s="256"/>
      <c r="G58" s="153"/>
      <c r="H58" s="184"/>
      <c r="I58" s="184"/>
      <c r="J58" s="184"/>
      <c r="K58" s="184"/>
    </row>
    <row r="59" spans="1:14" ht="15" customHeight="1">
      <c r="A59" s="152"/>
      <c r="B59" s="256"/>
      <c r="C59" s="256"/>
      <c r="D59" s="256"/>
      <c r="E59" s="256"/>
      <c r="F59" s="256"/>
      <c r="G59" s="153"/>
      <c r="H59" s="184"/>
      <c r="I59" s="184"/>
      <c r="J59" s="184"/>
      <c r="K59" s="184"/>
      <c r="L59" s="116"/>
      <c r="M59" s="116"/>
      <c r="N59" s="116"/>
    </row>
    <row r="60" spans="1:14" ht="15" customHeight="1">
      <c r="A60" s="125"/>
      <c r="B60" s="182"/>
      <c r="C60" s="182"/>
      <c r="D60" s="182"/>
      <c r="E60" s="182"/>
      <c r="F60" s="182"/>
      <c r="G60" s="126"/>
      <c r="H60" s="184"/>
      <c r="I60" s="184"/>
      <c r="J60" s="184"/>
      <c r="K60" s="184"/>
      <c r="L60" s="116"/>
      <c r="M60" s="116"/>
      <c r="N60" s="116"/>
    </row>
    <row r="61" spans="1:14" ht="15" customHeight="1">
      <c r="A61" s="292" t="s">
        <v>224</v>
      </c>
      <c r="B61" s="129"/>
      <c r="C61" s="129"/>
      <c r="D61" s="129"/>
      <c r="E61" s="129"/>
      <c r="F61" s="129"/>
      <c r="G61" s="293"/>
      <c r="H61" s="184"/>
      <c r="I61" s="184"/>
      <c r="J61" s="184"/>
      <c r="K61" s="184"/>
      <c r="L61" s="116"/>
      <c r="M61" s="116"/>
      <c r="N61" s="116"/>
    </row>
    <row r="62" spans="1:14" ht="15" customHeight="1">
      <c r="A62" s="294"/>
      <c r="B62" s="129"/>
      <c r="C62" s="129"/>
      <c r="D62" s="129"/>
      <c r="E62" s="129"/>
      <c r="F62" s="129"/>
      <c r="G62" s="293"/>
      <c r="H62" s="184"/>
      <c r="I62" s="184"/>
      <c r="J62" s="184"/>
      <c r="K62" s="184"/>
      <c r="L62" s="116"/>
      <c r="M62" s="116"/>
      <c r="N62" s="116"/>
    </row>
    <row r="63" spans="1:14" ht="15" customHeight="1">
      <c r="A63" s="294"/>
      <c r="B63" s="129"/>
      <c r="C63" s="129"/>
      <c r="D63" s="129"/>
      <c r="E63" s="129"/>
      <c r="F63" s="129"/>
      <c r="G63" s="293"/>
      <c r="H63" s="184"/>
      <c r="I63" s="184"/>
      <c r="J63" s="184"/>
      <c r="K63" s="184"/>
      <c r="L63" s="116"/>
      <c r="M63" s="116"/>
      <c r="N63" s="116"/>
    </row>
    <row r="64" spans="1:14" ht="15" customHeight="1">
      <c r="A64" s="125"/>
      <c r="B64" s="182"/>
      <c r="C64" s="182"/>
      <c r="D64" s="182"/>
      <c r="E64" s="182"/>
      <c r="F64" s="182"/>
      <c r="G64" s="126"/>
      <c r="H64" s="184"/>
      <c r="I64" s="184"/>
      <c r="J64" s="184"/>
      <c r="K64" s="184"/>
      <c r="L64" s="116"/>
      <c r="M64" s="116"/>
      <c r="N64" s="116"/>
    </row>
    <row r="65" spans="1:14" ht="15" customHeight="1">
      <c r="A65" s="266" t="s">
        <v>205</v>
      </c>
      <c r="B65" s="267"/>
      <c r="C65" s="267"/>
      <c r="D65" s="267"/>
      <c r="E65" s="267"/>
      <c r="F65" s="267"/>
      <c r="G65" s="268"/>
      <c r="H65" s="184"/>
      <c r="I65" s="184"/>
      <c r="J65" s="184"/>
      <c r="K65" s="184"/>
      <c r="L65" s="116"/>
      <c r="M65" s="116"/>
      <c r="N65" s="116"/>
    </row>
    <row r="66" spans="1:14" ht="15" customHeight="1">
      <c r="A66" s="269"/>
      <c r="B66" s="267"/>
      <c r="C66" s="267"/>
      <c r="D66" s="267"/>
      <c r="E66" s="267"/>
      <c r="F66" s="267"/>
      <c r="G66" s="268"/>
      <c r="H66" s="184"/>
      <c r="I66" s="184"/>
      <c r="J66" s="184"/>
      <c r="K66" s="184"/>
      <c r="L66" s="117"/>
      <c r="M66" s="117"/>
      <c r="N66" s="117"/>
    </row>
    <row r="67" spans="1:14" ht="15" customHeight="1">
      <c r="A67" s="125"/>
      <c r="B67" s="182"/>
      <c r="C67" s="182"/>
      <c r="D67" s="182"/>
      <c r="E67" s="182"/>
      <c r="F67" s="182"/>
      <c r="G67" s="126"/>
      <c r="H67" s="184"/>
      <c r="I67" s="184"/>
      <c r="J67" s="184"/>
      <c r="K67" s="184"/>
      <c r="L67" s="117"/>
      <c r="M67" s="117"/>
      <c r="N67" s="117"/>
    </row>
    <row r="68" spans="1:14" ht="15" customHeight="1">
      <c r="A68" s="154" t="s">
        <v>208</v>
      </c>
      <c r="B68" s="256"/>
      <c r="C68" s="256"/>
      <c r="D68" s="256"/>
      <c r="E68" s="256"/>
      <c r="F68" s="256"/>
      <c r="G68" s="153"/>
      <c r="H68" s="184"/>
      <c r="I68" s="184"/>
      <c r="J68" s="184"/>
      <c r="K68" s="184"/>
      <c r="L68" s="116"/>
      <c r="M68" s="116"/>
      <c r="N68" s="116"/>
    </row>
    <row r="69" spans="1:14" ht="15" customHeight="1">
      <c r="A69" s="152"/>
      <c r="B69" s="256"/>
      <c r="C69" s="256"/>
      <c r="D69" s="256"/>
      <c r="E69" s="256"/>
      <c r="F69" s="256"/>
      <c r="G69" s="153"/>
      <c r="H69" s="184"/>
      <c r="I69" s="184"/>
      <c r="J69" s="184"/>
      <c r="K69" s="184"/>
      <c r="L69" s="116"/>
      <c r="M69" s="116"/>
      <c r="N69" s="116"/>
    </row>
    <row r="70" spans="1:14" ht="15" customHeight="1">
      <c r="A70" s="152"/>
      <c r="B70" s="256"/>
      <c r="C70" s="256"/>
      <c r="D70" s="256"/>
      <c r="E70" s="256"/>
      <c r="F70" s="256"/>
      <c r="G70" s="153"/>
      <c r="H70" s="184"/>
      <c r="I70" s="184"/>
      <c r="J70" s="184"/>
      <c r="K70" s="184"/>
      <c r="L70" s="116"/>
      <c r="M70" s="116"/>
      <c r="N70" s="116"/>
    </row>
    <row r="71" spans="1:14" ht="15" customHeight="1">
      <c r="A71" s="152"/>
      <c r="B71" s="256"/>
      <c r="C71" s="256"/>
      <c r="D71" s="256"/>
      <c r="E71" s="256"/>
      <c r="F71" s="256"/>
      <c r="G71" s="153"/>
      <c r="H71" s="184"/>
      <c r="I71" s="184"/>
      <c r="J71" s="184"/>
      <c r="K71" s="184"/>
      <c r="L71" s="116"/>
      <c r="M71" s="116"/>
      <c r="N71" s="116"/>
    </row>
    <row r="72" spans="1:14" ht="15" customHeight="1">
      <c r="A72" s="104"/>
      <c r="B72" s="113"/>
      <c r="C72" s="113"/>
      <c r="D72" s="113"/>
      <c r="E72" s="113"/>
      <c r="F72" s="113"/>
      <c r="G72" s="103"/>
      <c r="H72" s="117"/>
      <c r="I72" s="117"/>
      <c r="J72" s="117"/>
      <c r="K72" s="117"/>
      <c r="L72" s="116"/>
      <c r="M72" s="116"/>
      <c r="N72" s="116"/>
    </row>
    <row r="73" spans="1:14" ht="15" customHeight="1">
      <c r="A73" s="257" t="s">
        <v>152</v>
      </c>
      <c r="B73" s="259" t="s">
        <v>166</v>
      </c>
      <c r="C73" s="258"/>
      <c r="D73" s="114"/>
      <c r="E73" s="114"/>
      <c r="F73" s="114"/>
      <c r="G73" s="120"/>
      <c r="H73" s="185"/>
      <c r="I73" s="185"/>
      <c r="J73" s="185"/>
      <c r="K73" s="185"/>
      <c r="L73" s="116"/>
      <c r="M73" s="116"/>
      <c r="N73" s="116"/>
    </row>
    <row r="74" spans="1:14">
      <c r="A74" s="81" t="s">
        <v>91</v>
      </c>
      <c r="B74" s="260" t="e">
        <f>C24</f>
        <v>#DIV/0!</v>
      </c>
      <c r="C74" s="261" t="e">
        <f>D24</f>
        <v>#DIV/0!</v>
      </c>
      <c r="D74" s="115"/>
      <c r="E74" s="115"/>
      <c r="F74" s="115"/>
      <c r="G74" s="121"/>
      <c r="H74" s="186"/>
      <c r="I74" s="186"/>
      <c r="J74" s="186"/>
      <c r="K74" s="186"/>
      <c r="L74" s="117"/>
      <c r="M74" s="117"/>
      <c r="N74" s="117"/>
    </row>
    <row r="75" spans="1:14" s="85" customFormat="1" ht="16" customHeight="1">
      <c r="A75" s="81" t="s">
        <v>94</v>
      </c>
      <c r="B75" s="262" t="e">
        <f>C26</f>
        <v>#DIV/0!</v>
      </c>
      <c r="C75" s="263" t="e">
        <f>D26</f>
        <v>#DIV/0!</v>
      </c>
      <c r="D75" s="115"/>
      <c r="E75" s="115"/>
      <c r="F75" s="115"/>
      <c r="G75" s="121"/>
      <c r="H75" s="186"/>
      <c r="I75" s="186"/>
      <c r="J75" s="186"/>
      <c r="K75" s="186"/>
      <c r="L75" s="118"/>
      <c r="M75" s="118"/>
      <c r="N75" s="118"/>
    </row>
    <row r="76" spans="1:14">
      <c r="A76" s="81" t="s">
        <v>96</v>
      </c>
      <c r="B76" s="260" t="e">
        <f>C32</f>
        <v>#DIV/0!</v>
      </c>
      <c r="C76" s="261" t="e">
        <f>D32</f>
        <v>#DIV/0!</v>
      </c>
      <c r="D76" s="115"/>
      <c r="E76" s="115"/>
      <c r="F76" s="115"/>
      <c r="G76" s="121"/>
      <c r="H76" s="186"/>
      <c r="I76" s="186"/>
      <c r="J76" s="186"/>
      <c r="K76" s="186"/>
      <c r="L76" s="119"/>
      <c r="M76" s="119"/>
      <c r="N76" s="119"/>
    </row>
    <row r="77" spans="1:14">
      <c r="A77" s="81" t="s">
        <v>103</v>
      </c>
      <c r="B77" s="262" t="e">
        <f>C36</f>
        <v>#DIV/0!</v>
      </c>
      <c r="C77" s="263" t="e">
        <f>D36</f>
        <v>#DIV/0!</v>
      </c>
      <c r="D77" s="115"/>
      <c r="E77" s="115"/>
      <c r="F77" s="115"/>
      <c r="G77" s="121"/>
      <c r="H77" s="186"/>
      <c r="I77" s="186"/>
      <c r="J77" s="186"/>
      <c r="K77" s="186"/>
      <c r="L77" s="119"/>
      <c r="M77" s="119"/>
      <c r="N77" s="119"/>
    </row>
    <row r="78" spans="1:14">
      <c r="A78" s="81" t="s">
        <v>104</v>
      </c>
      <c r="B78" s="260" t="e">
        <f>C38</f>
        <v>#DIV/0!</v>
      </c>
      <c r="C78" s="261" t="e">
        <f>D38</f>
        <v>#DIV/0!</v>
      </c>
      <c r="D78" s="115"/>
      <c r="E78" s="115"/>
      <c r="F78" s="115"/>
      <c r="G78" s="121"/>
      <c r="H78" s="186"/>
      <c r="I78" s="186"/>
      <c r="J78" s="186"/>
      <c r="K78" s="186"/>
      <c r="L78" s="119"/>
      <c r="M78" s="119"/>
      <c r="N78" s="119"/>
    </row>
    <row r="79" spans="1:14">
      <c r="A79" s="81" t="s">
        <v>106</v>
      </c>
      <c r="B79" s="262" t="e">
        <f>C40</f>
        <v>#DIV/0!</v>
      </c>
      <c r="C79" s="263" t="e">
        <f>D40</f>
        <v>#DIV/0!</v>
      </c>
      <c r="D79" s="115"/>
      <c r="E79" s="115"/>
      <c r="F79" s="115"/>
      <c r="G79" s="121"/>
      <c r="H79" s="186"/>
      <c r="I79" s="186"/>
      <c r="J79" s="186"/>
      <c r="K79" s="186"/>
      <c r="L79" s="119"/>
      <c r="M79" s="119"/>
      <c r="N79" s="119"/>
    </row>
    <row r="80" spans="1:14">
      <c r="A80" s="81" t="s">
        <v>110</v>
      </c>
      <c r="B80" s="260" t="e">
        <f>C46</f>
        <v>#DIV/0!</v>
      </c>
      <c r="C80" s="261" t="e">
        <f>D46</f>
        <v>#DIV/0!</v>
      </c>
      <c r="D80" s="115"/>
      <c r="E80" s="115"/>
      <c r="F80" s="115"/>
      <c r="G80" s="121"/>
      <c r="H80" s="186"/>
      <c r="I80" s="186"/>
      <c r="J80" s="186"/>
      <c r="K80" s="186"/>
      <c r="L80" s="119"/>
      <c r="M80" s="119"/>
      <c r="N80" s="119"/>
    </row>
    <row r="81" spans="1:14">
      <c r="A81" s="81" t="s">
        <v>115</v>
      </c>
      <c r="B81" s="262" t="e">
        <f>C52</f>
        <v>#DIV/0!</v>
      </c>
      <c r="C81" s="263" t="e">
        <f>D52</f>
        <v>#DIV/0!</v>
      </c>
      <c r="D81" s="115"/>
      <c r="E81" s="115"/>
      <c r="F81" s="115"/>
      <c r="G81" s="121"/>
      <c r="H81" s="186"/>
      <c r="I81" s="186"/>
      <c r="J81" s="186"/>
      <c r="K81" s="186"/>
      <c r="L81" s="119"/>
      <c r="M81" s="119"/>
      <c r="N81" s="119"/>
    </row>
    <row r="82" spans="1:14" ht="16" thickBot="1">
      <c r="A82" s="82" t="s">
        <v>116</v>
      </c>
      <c r="B82" s="264" t="e">
        <f>C54</f>
        <v>#DIV/0!</v>
      </c>
      <c r="C82" s="265" t="e">
        <f>D54</f>
        <v>#DIV/0!</v>
      </c>
      <c r="D82" s="122"/>
      <c r="E82" s="122"/>
      <c r="F82" s="122"/>
      <c r="G82" s="123"/>
      <c r="H82" s="186"/>
      <c r="I82" s="186"/>
      <c r="J82" s="186"/>
      <c r="K82" s="186"/>
      <c r="L82" s="119"/>
      <c r="M82" s="119"/>
      <c r="N82" s="119"/>
    </row>
    <row r="83" spans="1:14">
      <c r="L83" s="119"/>
      <c r="M83" s="119"/>
      <c r="N83" s="119"/>
    </row>
    <row r="84" spans="1:14">
      <c r="L84" s="119"/>
      <c r="M84" s="119"/>
      <c r="N84" s="119"/>
    </row>
    <row r="87" spans="1:14">
      <c r="A87" s="1"/>
      <c r="B87" s="7"/>
      <c r="C87" s="7"/>
      <c r="D87" s="95"/>
      <c r="E87" s="72"/>
      <c r="F87" s="72"/>
    </row>
    <row r="89" spans="1:14">
      <c r="A89" s="1"/>
      <c r="B89" s="7"/>
      <c r="C89" s="7"/>
      <c r="D89" s="95"/>
      <c r="E89" s="72"/>
      <c r="F89" s="72"/>
    </row>
    <row r="90" spans="1:14">
      <c r="A90" s="1"/>
      <c r="B90" s="7"/>
      <c r="C90" s="7"/>
      <c r="D90" s="95"/>
      <c r="E90" s="72"/>
      <c r="F90" s="72"/>
    </row>
    <row r="91" spans="1:14">
      <c r="A91" s="1"/>
      <c r="B91" s="7"/>
      <c r="C91" s="7"/>
      <c r="D91" s="95"/>
      <c r="E91" s="72"/>
      <c r="F91" s="72"/>
    </row>
    <row r="92" spans="1:14">
      <c r="A92" s="1"/>
      <c r="B92" s="7"/>
      <c r="C92" s="7"/>
      <c r="D92" s="95"/>
      <c r="E92" s="72"/>
      <c r="F92" s="72"/>
    </row>
    <row r="93" spans="1:14">
      <c r="A93" s="1"/>
      <c r="B93" s="7"/>
      <c r="C93" s="7"/>
      <c r="D93" s="95"/>
      <c r="E93" s="72"/>
      <c r="F93" s="72"/>
    </row>
    <row r="94" spans="1:14">
      <c r="A94" s="1"/>
      <c r="B94" s="7"/>
      <c r="C94" s="7"/>
      <c r="D94" s="95"/>
      <c r="E94" s="72"/>
      <c r="F94" s="72"/>
    </row>
    <row r="95" spans="1:14">
      <c r="A95" s="1"/>
      <c r="B95" s="7"/>
      <c r="C95" s="7"/>
      <c r="D95" s="95"/>
      <c r="E95" s="72"/>
      <c r="F95" s="72"/>
    </row>
    <row r="96" spans="1:14">
      <c r="A96" s="1"/>
      <c r="B96" s="7"/>
      <c r="C96" s="7"/>
      <c r="D96" s="95"/>
      <c r="E96" s="72"/>
      <c r="F96" s="72"/>
    </row>
    <row r="97" spans="1:6">
      <c r="A97" s="1"/>
      <c r="B97" s="7"/>
      <c r="C97" s="7"/>
      <c r="D97" s="95"/>
      <c r="E97" s="72"/>
      <c r="F97" s="72"/>
    </row>
    <row r="98" spans="1:6">
      <c r="A98" s="1"/>
      <c r="B98" s="7"/>
      <c r="C98" s="7"/>
      <c r="D98" s="95"/>
      <c r="E98" s="72"/>
      <c r="F98" s="72"/>
    </row>
    <row r="99" spans="1:6">
      <c r="A99" s="1"/>
      <c r="B99" s="7"/>
      <c r="C99" s="7"/>
      <c r="D99" s="95"/>
      <c r="E99" s="72"/>
      <c r="F99" s="72"/>
    </row>
    <row r="100" spans="1:6">
      <c r="A100" s="1"/>
      <c r="B100" s="7"/>
      <c r="C100" s="7"/>
      <c r="D100" s="95"/>
      <c r="E100" s="72"/>
      <c r="F100" s="72"/>
    </row>
    <row r="101" spans="1:6">
      <c r="A101" s="1"/>
      <c r="B101" s="7"/>
      <c r="C101" s="7"/>
      <c r="D101" s="95"/>
      <c r="E101" s="72"/>
      <c r="F101" s="72"/>
    </row>
    <row r="102" spans="1:6">
      <c r="A102" s="1"/>
      <c r="B102" s="7"/>
      <c r="C102" s="7"/>
      <c r="D102" s="95"/>
      <c r="E102" s="72"/>
      <c r="F102" s="72"/>
    </row>
  </sheetData>
  <sheetProtection password="F283" sheet="1" objects="1" scenarios="1" selectLockedCells="1"/>
  <sortState ref="A6:B39">
    <sortCondition ref="A6"/>
  </sortState>
  <mergeCells count="27">
    <mergeCell ref="B73:C73"/>
    <mergeCell ref="L14:M14"/>
    <mergeCell ref="A61:G63"/>
    <mergeCell ref="C15:D15"/>
    <mergeCell ref="E14:E15"/>
    <mergeCell ref="G14:H14"/>
    <mergeCell ref="I14:K14"/>
    <mergeCell ref="A68:G71"/>
    <mergeCell ref="S31:S32"/>
    <mergeCell ref="T31:T32"/>
    <mergeCell ref="O31:O32"/>
    <mergeCell ref="S16:S17"/>
    <mergeCell ref="P16:R17"/>
    <mergeCell ref="P33:T37"/>
    <mergeCell ref="O33:O37"/>
    <mergeCell ref="P38:R40"/>
    <mergeCell ref="S38:S40"/>
    <mergeCell ref="O38:O40"/>
    <mergeCell ref="T16:T17"/>
    <mergeCell ref="O16:O17"/>
    <mergeCell ref="P18:R18"/>
    <mergeCell ref="P31:R32"/>
    <mergeCell ref="A2:G4"/>
    <mergeCell ref="A10:G11"/>
    <mergeCell ref="A57:G59"/>
    <mergeCell ref="A65:G66"/>
    <mergeCell ref="A6:G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zoomScale="175" zoomScaleNormal="175" zoomScalePageLayoutView="175" workbookViewId="0"/>
  </sheetViews>
  <sheetFormatPr baseColWidth="10" defaultColWidth="10.625" defaultRowHeight="11" x14ac:dyDescent="0"/>
  <cols>
    <col min="1" max="1" width="11.875" style="8" customWidth="1"/>
    <col min="2" max="2" width="5.125" style="8" customWidth="1"/>
    <col min="3" max="3" width="7.75" style="8" customWidth="1"/>
    <col min="4" max="4" width="3.125" style="8" bestFit="1" customWidth="1"/>
    <col min="5" max="5" width="3.125" style="8" customWidth="1"/>
    <col min="6" max="8" width="10.875" style="8" customWidth="1"/>
    <col min="9" max="9" width="12.125" style="8" customWidth="1"/>
    <col min="10" max="10" width="9.375" style="8" customWidth="1"/>
    <col min="11" max="12" width="8.625" style="8" customWidth="1"/>
    <col min="13" max="13" width="2" style="8" customWidth="1"/>
    <col min="14" max="14" width="8.625" style="8" customWidth="1"/>
    <col min="15" max="15" width="11.375" style="8" bestFit="1" customWidth="1"/>
    <col min="16" max="20" width="10.625" style="8"/>
    <col min="21" max="22" width="10.625" style="69"/>
    <col min="23" max="23" width="2.375" style="69" customWidth="1"/>
    <col min="24" max="16384" width="10.625" style="69"/>
  </cols>
  <sheetData>
    <row r="1" spans="1:25" s="8" customFormat="1">
      <c r="A1" s="59" t="s">
        <v>128</v>
      </c>
      <c r="B1" s="59"/>
    </row>
    <row r="2" spans="1:25" s="8" customFormat="1" ht="11" customHeight="1">
      <c r="A2" s="8" t="s">
        <v>36</v>
      </c>
      <c r="B2" s="175" t="str">
        <f>'Input Values'!C28</f>
        <v>Enter name here</v>
      </c>
      <c r="C2" s="176"/>
      <c r="D2" s="26"/>
      <c r="N2" s="174" t="s">
        <v>149</v>
      </c>
      <c r="O2" s="129"/>
      <c r="P2" s="139"/>
    </row>
    <row r="3" spans="1:25" s="8" customFormat="1" ht="11" customHeight="1">
      <c r="A3" s="8" t="s">
        <v>37</v>
      </c>
      <c r="B3" s="175" t="str">
        <f>'Input Values'!C29</f>
        <v>Enter email here</v>
      </c>
      <c r="C3" s="176"/>
      <c r="D3" s="26"/>
      <c r="E3" s="9"/>
      <c r="N3" s="129"/>
      <c r="O3" s="129"/>
      <c r="P3" s="139"/>
    </row>
    <row r="4" spans="1:25" s="8" customFormat="1" ht="11" customHeight="1">
      <c r="A4" s="8" t="s">
        <v>38</v>
      </c>
      <c r="B4" s="175" t="str">
        <f>'Input Values'!C30</f>
        <v>Enter date here</v>
      </c>
      <c r="C4" s="176"/>
      <c r="D4" s="26"/>
      <c r="E4" s="10"/>
      <c r="N4" s="129"/>
      <c r="O4" s="129"/>
      <c r="P4" s="139"/>
    </row>
    <row r="5" spans="1:25" s="8" customFormat="1" ht="11" customHeight="1">
      <c r="A5" s="27" t="s">
        <v>41</v>
      </c>
      <c r="B5" s="175">
        <f>'Input Values'!C31</f>
        <v>0</v>
      </c>
      <c r="C5" s="176"/>
      <c r="D5" s="26"/>
      <c r="E5" s="10"/>
      <c r="N5" s="129"/>
      <c r="O5" s="129"/>
      <c r="P5" s="139"/>
    </row>
    <row r="6" spans="1:25" s="8" customFormat="1" ht="11" customHeight="1">
      <c r="F6" s="171" t="s">
        <v>40</v>
      </c>
      <c r="G6" s="172"/>
      <c r="H6" s="173"/>
      <c r="N6" s="129"/>
      <c r="O6" s="129"/>
      <c r="P6" s="139"/>
    </row>
    <row r="7" spans="1:25" s="8" customFormat="1" ht="11" customHeight="1">
      <c r="F7" s="12" t="s">
        <v>145</v>
      </c>
      <c r="G7" s="11" t="s">
        <v>146</v>
      </c>
      <c r="H7" s="12" t="s">
        <v>39</v>
      </c>
      <c r="U7" s="166" t="s">
        <v>167</v>
      </c>
      <c r="V7" s="143"/>
      <c r="W7" s="143"/>
      <c r="X7" s="143"/>
      <c r="Y7" s="143"/>
    </row>
    <row r="8" spans="1:25" s="8" customFormat="1" ht="11" customHeight="1">
      <c r="A8" s="25"/>
      <c r="B8" s="13"/>
      <c r="D8" s="13"/>
      <c r="E8" s="13"/>
      <c r="F8" s="44">
        <f>F85/1000</f>
        <v>35.027954165060613</v>
      </c>
      <c r="G8" s="65">
        <f>G85/1000</f>
        <v>0</v>
      </c>
      <c r="H8" s="16" t="s">
        <v>63</v>
      </c>
      <c r="J8" s="17" t="s">
        <v>137</v>
      </c>
      <c r="K8" s="164" t="s">
        <v>64</v>
      </c>
      <c r="L8" s="165"/>
      <c r="M8" s="30"/>
      <c r="N8" s="164" t="s">
        <v>148</v>
      </c>
      <c r="O8" s="165"/>
      <c r="U8" s="164" t="s">
        <v>64</v>
      </c>
      <c r="V8" s="165"/>
      <c r="W8" s="30"/>
      <c r="X8" s="164" t="s">
        <v>148</v>
      </c>
      <c r="Y8" s="165"/>
    </row>
    <row r="9" spans="1:25" s="8" customFormat="1" ht="11" customHeight="1">
      <c r="A9" s="24" t="s">
        <v>133</v>
      </c>
      <c r="B9" s="14" t="s">
        <v>134</v>
      </c>
      <c r="C9" s="166" t="s">
        <v>132</v>
      </c>
      <c r="D9" s="143"/>
      <c r="E9" s="14"/>
      <c r="F9" s="47">
        <f>F8</f>
        <v>35.027954165060613</v>
      </c>
      <c r="G9" s="47">
        <f>C85/1000</f>
        <v>0</v>
      </c>
      <c r="H9" s="55"/>
      <c r="I9" s="71" t="s">
        <v>147</v>
      </c>
      <c r="J9" s="40" t="s">
        <v>43</v>
      </c>
      <c r="K9" s="70" t="s">
        <v>65</v>
      </c>
      <c r="L9" s="70" t="s">
        <v>66</v>
      </c>
      <c r="M9" s="71"/>
      <c r="N9" s="70" t="s">
        <v>65</v>
      </c>
      <c r="O9" s="70" t="s">
        <v>66</v>
      </c>
      <c r="P9" s="69" t="s">
        <v>142</v>
      </c>
      <c r="U9" s="70" t="s">
        <v>65</v>
      </c>
      <c r="V9" s="70" t="s">
        <v>66</v>
      </c>
      <c r="W9" s="71"/>
      <c r="X9" s="70" t="s">
        <v>65</v>
      </c>
      <c r="Y9" s="70" t="s">
        <v>66</v>
      </c>
    </row>
    <row r="10" spans="1:25" ht="11" customHeight="1">
      <c r="A10" s="60" t="s">
        <v>82</v>
      </c>
      <c r="B10" s="34" t="s">
        <v>0</v>
      </c>
      <c r="C10" s="61">
        <f>'Input Values'!C37</f>
        <v>0</v>
      </c>
      <c r="D10" s="35" t="s">
        <v>138</v>
      </c>
      <c r="E10" s="35"/>
      <c r="F10" s="48">
        <v>8.0940000000000005E-4</v>
      </c>
      <c r="G10" s="50">
        <f>($G$9*1000)/$F$85*F10</f>
        <v>0</v>
      </c>
      <c r="H10" s="56" t="e">
        <f>(C10/G10)-1</f>
        <v>#DIV/0!</v>
      </c>
      <c r="I10" s="37" t="e">
        <f>IF(H10&lt;0,($B$5*3.785)*(G10-C10),"Elevated")</f>
        <v>#DIV/0!</v>
      </c>
      <c r="J10" s="36" t="s">
        <v>42</v>
      </c>
      <c r="P10" s="169" t="s">
        <v>69</v>
      </c>
      <c r="Q10" s="170"/>
      <c r="R10" s="170"/>
      <c r="S10" s="170"/>
      <c r="T10" s="170"/>
    </row>
    <row r="11" spans="1:25" ht="11" customHeight="1">
      <c r="A11" s="62"/>
      <c r="B11" s="24"/>
      <c r="C11" s="21"/>
      <c r="D11" s="15"/>
      <c r="E11" s="15"/>
      <c r="F11" s="49"/>
      <c r="G11" s="51"/>
      <c r="H11" s="57"/>
      <c r="I11" s="18"/>
      <c r="J11" s="69"/>
      <c r="K11" s="38"/>
      <c r="L11" s="39"/>
      <c r="M11" s="39"/>
      <c r="N11" s="39"/>
      <c r="O11" s="39"/>
    </row>
    <row r="12" spans="1:25" ht="11" customHeight="1">
      <c r="A12" s="60" t="s">
        <v>83</v>
      </c>
      <c r="B12" s="34" t="s">
        <v>1</v>
      </c>
      <c r="C12" s="61">
        <f>'Input Values'!C38</f>
        <v>0</v>
      </c>
      <c r="D12" s="35" t="s">
        <v>138</v>
      </c>
      <c r="E12" s="35"/>
      <c r="F12" s="50">
        <v>1.7229999999999999E-3</v>
      </c>
      <c r="G12" s="50">
        <f>($G$9*1000)/$F$85*F12</f>
        <v>0</v>
      </c>
      <c r="H12" s="56" t="e">
        <f t="shared" ref="H12:H82" si="0">(C12/G12)-1</f>
        <v>#DIV/0!</v>
      </c>
      <c r="I12" s="37" t="e">
        <f>IF(H12&lt;0,($B$5*3.785)*(G12-C12),"Elevated")</f>
        <v>#DIV/0!</v>
      </c>
      <c r="J12" s="36" t="s">
        <v>42</v>
      </c>
      <c r="P12" s="169" t="s">
        <v>70</v>
      </c>
      <c r="Q12" s="170"/>
      <c r="R12" s="170"/>
      <c r="S12" s="170"/>
      <c r="T12" s="170"/>
    </row>
    <row r="13" spans="1:25" ht="11" customHeight="1">
      <c r="A13" s="62"/>
      <c r="B13" s="24"/>
      <c r="C13" s="21"/>
      <c r="D13" s="15"/>
      <c r="E13" s="15"/>
      <c r="F13" s="51"/>
      <c r="G13" s="51"/>
      <c r="H13" s="57"/>
      <c r="I13" s="31"/>
      <c r="J13" s="69"/>
      <c r="K13" s="29"/>
      <c r="L13" s="30"/>
      <c r="M13" s="30"/>
      <c r="N13" s="30"/>
      <c r="O13" s="30"/>
    </row>
    <row r="14" spans="1:25" ht="11" customHeight="1">
      <c r="A14" s="60" t="s">
        <v>84</v>
      </c>
      <c r="B14" s="34" t="s">
        <v>2</v>
      </c>
      <c r="C14" s="61">
        <f>'Input Values'!C39</f>
        <v>0</v>
      </c>
      <c r="D14" s="35" t="s">
        <v>138</v>
      </c>
      <c r="E14" s="35"/>
      <c r="F14" s="50">
        <v>4.45</v>
      </c>
      <c r="G14" s="50">
        <f>($G$9*1000)/$F$85*F14</f>
        <v>0</v>
      </c>
      <c r="H14" s="56" t="e">
        <f t="shared" si="0"/>
        <v>#DIV/0!</v>
      </c>
      <c r="I14" s="37" t="e">
        <f>IF(H14&lt;0,($B$5*3.785)*(G14-C14),"Elevated")</f>
        <v>#DIV/0!</v>
      </c>
      <c r="J14" s="36" t="s">
        <v>44</v>
      </c>
      <c r="K14" s="41" t="e">
        <f>IF(H14&lt;0,-($B$5*3.785)*(C14-G14)/44500*1000,"None Required")</f>
        <v>#DIV/0!</v>
      </c>
      <c r="L14" s="41" t="e">
        <f>IF(H14&lt;0,-($B$5*3.785)*(C14-G14)/44500*1000*20,"None Required")</f>
        <v>#DIV/0!</v>
      </c>
      <c r="M14" s="41"/>
      <c r="N14" s="41" t="e">
        <f>IF(H14&lt;0,($B$5*3.785)*(C14-G14)/44500*1000/'Input Values'!$C$32*H14,-($B$5*3.785)*(C14-G14)/44500*1000/'Input Values'!$C$32*H14)</f>
        <v>#DIV/0!</v>
      </c>
      <c r="O14" s="41" t="e">
        <f>ROUNDUP(N14/0.05,3)</f>
        <v>#DIV/0!</v>
      </c>
    </row>
    <row r="15" spans="1:25" ht="11" customHeight="1">
      <c r="A15" s="62"/>
      <c r="B15" s="24"/>
      <c r="C15" s="21"/>
      <c r="D15" s="15"/>
      <c r="E15" s="15"/>
      <c r="F15" s="51"/>
      <c r="G15" s="51"/>
      <c r="H15" s="57"/>
      <c r="I15" s="18"/>
      <c r="J15" s="69"/>
      <c r="K15" s="28"/>
      <c r="L15" s="28"/>
      <c r="M15" s="28"/>
      <c r="N15" s="28"/>
      <c r="O15" s="28"/>
    </row>
    <row r="16" spans="1:25" ht="11" customHeight="1">
      <c r="A16" s="60" t="s">
        <v>85</v>
      </c>
      <c r="B16" s="34" t="s">
        <v>3</v>
      </c>
      <c r="C16" s="61">
        <f>'Input Values'!C40</f>
        <v>0</v>
      </c>
      <c r="D16" s="35" t="s">
        <v>138</v>
      </c>
      <c r="E16" s="35"/>
      <c r="F16" s="50">
        <v>1.3729999999999999E-2</v>
      </c>
      <c r="G16" s="50">
        <f>($G$9*1000)/$F$85*F16</f>
        <v>0</v>
      </c>
      <c r="H16" s="56" t="e">
        <f t="shared" si="0"/>
        <v>#DIV/0!</v>
      </c>
      <c r="I16" s="37" t="e">
        <f>IF(H16&lt;0,($B$5*3.785)*(G16-C16),"Elevated")</f>
        <v>#DIV/0!</v>
      </c>
      <c r="J16" s="36" t="s">
        <v>42</v>
      </c>
      <c r="N16" s="74"/>
      <c r="O16" s="74"/>
      <c r="P16" s="169" t="s">
        <v>71</v>
      </c>
      <c r="Q16" s="170"/>
      <c r="R16" s="170"/>
      <c r="S16" s="170"/>
      <c r="T16" s="170"/>
    </row>
    <row r="17" spans="1:25" ht="11" customHeight="1">
      <c r="A17" s="62"/>
      <c r="B17" s="24"/>
      <c r="C17" s="21"/>
      <c r="D17" s="15"/>
      <c r="E17" s="15"/>
      <c r="F17" s="51"/>
      <c r="G17" s="51"/>
      <c r="H17" s="57"/>
      <c r="I17" s="20"/>
      <c r="J17" s="69"/>
      <c r="K17" s="38"/>
      <c r="L17" s="39"/>
      <c r="M17" s="39"/>
      <c r="N17" s="75"/>
      <c r="O17" s="75"/>
    </row>
    <row r="18" spans="1:25" ht="11" customHeight="1">
      <c r="A18" s="60" t="s">
        <v>86</v>
      </c>
      <c r="B18" s="34" t="s">
        <v>4</v>
      </c>
      <c r="C18" s="61">
        <f>'Input Values'!C41</f>
        <v>0</v>
      </c>
      <c r="D18" s="35" t="s">
        <v>138</v>
      </c>
      <c r="E18" s="35"/>
      <c r="F18" s="50">
        <v>5.8579999999999996E-7</v>
      </c>
      <c r="G18" s="50">
        <f>($G$9*1000)/$F$85*F18</f>
        <v>0</v>
      </c>
      <c r="H18" s="56" t="e">
        <f t="shared" si="0"/>
        <v>#DIV/0!</v>
      </c>
      <c r="I18" s="37" t="e">
        <f>IF(H18&lt;0,($B$5*3.785)*(G18-C18),"Elevated")</f>
        <v>#DIV/0!</v>
      </c>
      <c r="J18" s="36" t="s">
        <v>42</v>
      </c>
      <c r="N18" s="74"/>
      <c r="O18" s="74"/>
      <c r="P18" s="169" t="s">
        <v>72</v>
      </c>
      <c r="Q18" s="170"/>
      <c r="R18" s="170"/>
      <c r="S18" s="170"/>
      <c r="T18" s="170"/>
    </row>
    <row r="19" spans="1:25" ht="11" customHeight="1">
      <c r="A19" s="62"/>
      <c r="B19" s="24"/>
      <c r="C19" s="21"/>
      <c r="D19" s="15"/>
      <c r="E19" s="15"/>
      <c r="F19" s="51"/>
      <c r="G19" s="51"/>
      <c r="H19" s="57"/>
      <c r="I19" s="20"/>
      <c r="J19" s="69"/>
      <c r="K19" s="38"/>
      <c r="L19" s="39"/>
      <c r="M19" s="39"/>
      <c r="N19" s="75"/>
      <c r="O19" s="75"/>
    </row>
    <row r="20" spans="1:25" ht="11" customHeight="1">
      <c r="A20" s="60" t="s">
        <v>87</v>
      </c>
      <c r="B20" s="34" t="s">
        <v>5</v>
      </c>
      <c r="C20" s="61">
        <f>'Input Values'!C42</f>
        <v>0</v>
      </c>
      <c r="D20" s="35" t="s">
        <v>138</v>
      </c>
      <c r="E20" s="35"/>
      <c r="F20" s="50">
        <v>2.09E-5</v>
      </c>
      <c r="G20" s="50">
        <f>($G$9*1000)/$F$85*F20</f>
        <v>0</v>
      </c>
      <c r="H20" s="56" t="e">
        <f t="shared" si="0"/>
        <v>#DIV/0!</v>
      </c>
      <c r="I20" s="37" t="e">
        <f>IF(H20&lt;0,($B$5*3.785)*(G20-C20),"Elevated")</f>
        <v>#DIV/0!</v>
      </c>
      <c r="J20" s="36" t="s">
        <v>42</v>
      </c>
      <c r="N20" s="74"/>
      <c r="O20" s="74"/>
      <c r="P20" s="169" t="s">
        <v>73</v>
      </c>
      <c r="Q20" s="170"/>
      <c r="R20" s="170"/>
      <c r="S20" s="170"/>
      <c r="T20" s="170"/>
    </row>
    <row r="21" spans="1:25" ht="11" customHeight="1">
      <c r="A21" s="62"/>
      <c r="B21" s="24"/>
      <c r="C21" s="21"/>
      <c r="D21" s="15"/>
      <c r="E21" s="15"/>
      <c r="F21" s="51"/>
      <c r="G21" s="51"/>
      <c r="H21" s="57"/>
      <c r="I21" s="18"/>
      <c r="J21" s="69"/>
      <c r="K21" s="29"/>
      <c r="L21" s="30"/>
      <c r="M21" s="30"/>
      <c r="N21" s="76"/>
      <c r="O21" s="76"/>
    </row>
    <row r="22" spans="1:25" ht="11" customHeight="1">
      <c r="A22" s="60" t="s">
        <v>88</v>
      </c>
      <c r="B22" s="34" t="s">
        <v>6</v>
      </c>
      <c r="C22" s="61">
        <f>'Input Values'!C43</f>
        <v>0</v>
      </c>
      <c r="D22" s="35" t="s">
        <v>138</v>
      </c>
      <c r="E22" s="35"/>
      <c r="F22" s="50">
        <v>67.12</v>
      </c>
      <c r="G22" s="50">
        <f>($G$9*1000)/$F$85*F22</f>
        <v>0</v>
      </c>
      <c r="H22" s="56" t="e">
        <f t="shared" si="0"/>
        <v>#DIV/0!</v>
      </c>
      <c r="I22" s="37" t="e">
        <f>IF(H22&lt;0,($B$5*3.785)*(G22-C22),"Elevated")</f>
        <v>#DIV/0!</v>
      </c>
      <c r="J22" s="36" t="s">
        <v>45</v>
      </c>
      <c r="K22" s="41" t="e">
        <f>IF(H22&lt;0,-($B$5*3.785)*(C22-G22)/100000*1000,"None Required")</f>
        <v>#DIV/0!</v>
      </c>
      <c r="L22" s="41" t="e">
        <f>IF(H22&lt;0,-($B$5*3.785)*(C22-G22)/100000*1000*20,"None Required")</f>
        <v>#DIV/0!</v>
      </c>
      <c r="M22" s="41"/>
      <c r="N22" s="41" t="e">
        <f>IF(H22&lt;0,($B$5*3.785)*(C22-G22)/100000*1000/'Input Values'!$C$32*H22,-($B$5*3.785)*(C22-G22)/100000*1000/'Input Values'!$C$32*H22)</f>
        <v>#DIV/0!</v>
      </c>
      <c r="O22" s="41" t="e">
        <f>ROUNDUP(N22/0.05,3)</f>
        <v>#DIV/0!</v>
      </c>
    </row>
    <row r="23" spans="1:25" ht="11" customHeight="1">
      <c r="A23" s="62"/>
      <c r="B23" s="24"/>
      <c r="C23" s="21"/>
      <c r="D23" s="15"/>
      <c r="E23" s="15"/>
      <c r="F23" s="51"/>
      <c r="G23" s="51"/>
      <c r="H23" s="57"/>
      <c r="I23" s="18"/>
      <c r="J23" s="69"/>
      <c r="K23" s="28"/>
      <c r="L23" s="28"/>
      <c r="M23" s="28"/>
      <c r="N23" s="28"/>
      <c r="O23" s="28"/>
    </row>
    <row r="24" spans="1:25" ht="11" customHeight="1">
      <c r="A24" s="60" t="s">
        <v>89</v>
      </c>
      <c r="B24" s="34" t="s">
        <v>7</v>
      </c>
      <c r="C24" s="61">
        <f>'Input Values'!C44</f>
        <v>0</v>
      </c>
      <c r="D24" s="35" t="s">
        <v>138</v>
      </c>
      <c r="E24" s="35"/>
      <c r="F24" s="50">
        <v>412.1</v>
      </c>
      <c r="G24" s="50">
        <f>($G$9*1000)/$F$85*F24</f>
        <v>0</v>
      </c>
      <c r="H24" s="56" t="e">
        <f t="shared" si="0"/>
        <v>#DIV/0!</v>
      </c>
      <c r="I24" s="37" t="e">
        <f>IF(H24&lt;0,($B$5*3.785)*(G24-C24),"Elevated")</f>
        <v>#DIV/0!</v>
      </c>
      <c r="J24" s="36" t="s">
        <v>151</v>
      </c>
      <c r="K24" s="41" t="e">
        <f>IF(H24&lt;0,-($B$5*3.785)*(C24-G24)/150250*1000,"None Required")</f>
        <v>#DIV/0!</v>
      </c>
      <c r="L24" s="41" t="e">
        <f>IF(H24&lt;0,-($B$5*3.785)*(C24-G24)/150250*1000*20,"None Required")</f>
        <v>#DIV/0!</v>
      </c>
      <c r="M24" s="41"/>
      <c r="N24" s="41" t="e">
        <f>IF(H24&lt;0,($B$5*3.785)*(C24-G24)/150250*1000/'Input Values'!$C$32*H24,-($B$5*3.785)*(C24-G24)/150250*1000/'Input Values'!$C$32*H24)</f>
        <v>#DIV/0!</v>
      </c>
      <c r="O24" s="41" t="e">
        <f>ROUNDUP(N24/0.05,3)</f>
        <v>#DIV/0!</v>
      </c>
    </row>
    <row r="25" spans="1:25" ht="11" customHeight="1">
      <c r="A25" s="62"/>
      <c r="B25" s="24"/>
      <c r="C25" s="21"/>
      <c r="D25" s="15"/>
      <c r="E25" s="15"/>
      <c r="F25" s="51"/>
      <c r="G25" s="51"/>
      <c r="H25" s="57"/>
      <c r="I25" s="18"/>
      <c r="J25" s="19"/>
      <c r="K25" s="28"/>
      <c r="L25" s="28"/>
      <c r="M25" s="28"/>
      <c r="N25" s="28"/>
      <c r="O25" s="28"/>
    </row>
    <row r="26" spans="1:25" ht="11" customHeight="1">
      <c r="A26" s="60" t="s">
        <v>136</v>
      </c>
      <c r="B26" s="34" t="s">
        <v>8</v>
      </c>
      <c r="C26" s="61">
        <f>'Input Values'!C45</f>
        <v>0</v>
      </c>
      <c r="D26" s="35" t="s">
        <v>138</v>
      </c>
      <c r="E26" s="35"/>
      <c r="F26" s="50">
        <v>7.8689999999999994E-5</v>
      </c>
      <c r="G26" s="50">
        <f>($G$9*1000)/$F$85*F26</f>
        <v>0</v>
      </c>
      <c r="H26" s="56" t="e">
        <f t="shared" si="0"/>
        <v>#DIV/0!</v>
      </c>
      <c r="I26" s="37" t="e">
        <f>IF(H26&lt;0,($B$5*3.785)*(G26-C26),"Elevated")</f>
        <v>#DIV/0!</v>
      </c>
      <c r="J26" s="36" t="s">
        <v>42</v>
      </c>
      <c r="N26" s="74"/>
      <c r="O26" s="74"/>
      <c r="P26" s="169" t="s">
        <v>74</v>
      </c>
      <c r="Q26" s="170"/>
      <c r="R26" s="170"/>
      <c r="S26" s="170"/>
      <c r="T26" s="170"/>
    </row>
    <row r="27" spans="1:25" ht="11" customHeight="1">
      <c r="A27" s="62"/>
      <c r="B27" s="24"/>
      <c r="C27" s="21"/>
      <c r="D27" s="15"/>
      <c r="E27" s="15"/>
      <c r="F27" s="51"/>
      <c r="G27" s="51"/>
      <c r="H27" s="57"/>
      <c r="I27" s="18"/>
      <c r="J27" s="69"/>
      <c r="K27" s="38"/>
      <c r="L27" s="39"/>
      <c r="M27" s="39"/>
      <c r="N27" s="75"/>
      <c r="O27" s="75"/>
    </row>
    <row r="28" spans="1:25" ht="11" customHeight="1">
      <c r="A28" s="60" t="s">
        <v>90</v>
      </c>
      <c r="B28" s="34" t="s">
        <v>9</v>
      </c>
      <c r="C28" s="61">
        <f>'Input Values'!C46</f>
        <v>0</v>
      </c>
      <c r="D28" s="35" t="s">
        <v>138</v>
      </c>
      <c r="E28" s="35"/>
      <c r="F28" s="50">
        <v>19352.900000000001</v>
      </c>
      <c r="G28" s="50">
        <f>($G$9*1000)/$F$85*F28</f>
        <v>0</v>
      </c>
      <c r="H28" s="56" t="e">
        <f t="shared" si="0"/>
        <v>#DIV/0!</v>
      </c>
      <c r="I28" s="37" t="e">
        <f>IF(H28&lt;0,($B$5*3.785)*(G28-C28),"Elevated")</f>
        <v>#DIV/0!</v>
      </c>
      <c r="J28" s="36" t="s">
        <v>42</v>
      </c>
      <c r="N28" s="74"/>
      <c r="O28" s="74"/>
      <c r="P28" s="169" t="s">
        <v>67</v>
      </c>
      <c r="Q28" s="170"/>
      <c r="R28" s="170"/>
      <c r="S28" s="170"/>
      <c r="T28" s="170"/>
    </row>
    <row r="29" spans="1:25" ht="11" customHeight="1">
      <c r="A29" s="62"/>
      <c r="B29" s="24"/>
      <c r="C29" s="21"/>
      <c r="D29" s="15"/>
      <c r="E29" s="15"/>
      <c r="F29" s="51"/>
      <c r="G29" s="51"/>
      <c r="H29" s="57"/>
      <c r="I29" s="18"/>
      <c r="J29" s="69"/>
      <c r="K29" s="29"/>
      <c r="L29" s="30"/>
      <c r="M29" s="30"/>
      <c r="N29" s="76"/>
      <c r="O29" s="76"/>
    </row>
    <row r="30" spans="1:25" ht="11" customHeight="1">
      <c r="A30" s="60" t="s">
        <v>91</v>
      </c>
      <c r="B30" s="34" t="s">
        <v>10</v>
      </c>
      <c r="C30" s="61">
        <f>'Input Values'!C47</f>
        <v>0</v>
      </c>
      <c r="D30" s="35" t="s">
        <v>138</v>
      </c>
      <c r="E30" s="35"/>
      <c r="F30" s="50">
        <v>1.7680000000000001E-6</v>
      </c>
      <c r="G30" s="50">
        <f>($G$9*1000)/$F$85*F30</f>
        <v>0</v>
      </c>
      <c r="H30" s="56" t="e">
        <f t="shared" si="0"/>
        <v>#DIV/0!</v>
      </c>
      <c r="I30" s="37" t="e">
        <f>IF(H30&lt;0,($B$5*3.785)*(G30-C30),"Elevated")</f>
        <v>#DIV/0!</v>
      </c>
      <c r="J30" s="36" t="s">
        <v>46</v>
      </c>
      <c r="K30" s="41" t="e">
        <f>IF(H30&lt;0,-($B$5*3.785)*(C30-G30)/1000*1000,"None Required")</f>
        <v>#DIV/0!</v>
      </c>
      <c r="L30" s="41" t="e">
        <f>IF(H30&lt;0,-($B$5*3.785)*(C30-G30)/1000*1000*20,"None Required")</f>
        <v>#DIV/0!</v>
      </c>
      <c r="M30" s="41"/>
      <c r="N30" s="41" t="e">
        <f>IF(H30&lt;0,($B$5*3.785)*(C30-G30)/1000*1000/'Input Values'!$C$32*H30,-($B$5*3.785)*(C30-G30)/1000*1000/'Input Values'!$C$32*H30)</f>
        <v>#DIV/0!</v>
      </c>
      <c r="O30" s="41" t="e">
        <f>ROUNDUP(N30/0.05,3)</f>
        <v>#DIV/0!</v>
      </c>
      <c r="U30" s="69" t="e">
        <f>IF(H30&lt;0,($B$5*3.785)*(G30-C30)/1.7*1000,"None Required")</f>
        <v>#DIV/0!</v>
      </c>
      <c r="V30" s="69" t="e">
        <f>IF(H30&lt;0,($B$5*3.785)*(G30-C30)/1.7*1000*20,"None Required")</f>
        <v>#DIV/0!</v>
      </c>
      <c r="X30" s="28" t="e">
        <f>IF(H30&lt;0,($B$5*3.785)*(G30-C30)/1.7*1000/'Input Values'!$C$32*1.05,($B$5*3.785)*(G30-C30)/1.7*1000/'Input Values'!$C$32*1.05)</f>
        <v>#DIV/0!</v>
      </c>
      <c r="Y30" s="28" t="e">
        <f>ROUNDUP(X30/0.05,3)</f>
        <v>#DIV/0!</v>
      </c>
    </row>
    <row r="31" spans="1:25" ht="11" customHeight="1">
      <c r="A31" s="62"/>
      <c r="B31" s="24"/>
      <c r="C31" s="21"/>
      <c r="D31" s="15"/>
      <c r="E31" s="15"/>
      <c r="F31" s="51"/>
      <c r="G31" s="51"/>
      <c r="H31" s="57"/>
      <c r="I31" s="18"/>
      <c r="J31" s="69"/>
      <c r="K31" s="28"/>
      <c r="L31" s="28"/>
      <c r="M31" s="28"/>
      <c r="N31" s="28"/>
      <c r="O31" s="28"/>
      <c r="X31" s="28"/>
      <c r="Y31" s="28"/>
    </row>
    <row r="32" spans="1:25" ht="11" customHeight="1">
      <c r="A32" s="60" t="s">
        <v>92</v>
      </c>
      <c r="B32" s="34" t="s">
        <v>11</v>
      </c>
      <c r="C32" s="61">
        <f>'Input Values'!C48</f>
        <v>0</v>
      </c>
      <c r="D32" s="35" t="s">
        <v>138</v>
      </c>
      <c r="E32" s="35"/>
      <c r="F32" s="50">
        <v>2.0799999999999999E-4</v>
      </c>
      <c r="G32" s="50">
        <f>($G$9*1000)/$F$85*F32</f>
        <v>0</v>
      </c>
      <c r="H32" s="56" t="e">
        <f t="shared" si="0"/>
        <v>#DIV/0!</v>
      </c>
      <c r="I32" s="37" t="e">
        <f>IF(H32&lt;0,($B$5*3.785)*(G32-C32),"Elevated")</f>
        <v>#DIV/0!</v>
      </c>
      <c r="J32" s="36" t="s">
        <v>150</v>
      </c>
      <c r="K32" s="41" t="e">
        <f>IF(H32&lt;0,-($B$5*3.785)*(C32-G32)/1000*1000,"None Required")</f>
        <v>#DIV/0!</v>
      </c>
      <c r="L32" s="41" t="e">
        <f>IF(H32&lt;0,-($B$5*3.785)*(C32-G32)/1000*1000*20,"None Required")</f>
        <v>#DIV/0!</v>
      </c>
      <c r="M32" s="41"/>
      <c r="N32" s="41" t="e">
        <f>IF(H32&lt;0,($B$5*3.785)*(C32-G32)/1000*1000/'Input Values'!$C$32*H32,-($B$5*3.785)*(C32-G32)/1000*1000/'Input Values'!$C$32*H32)</f>
        <v>#DIV/0!</v>
      </c>
      <c r="O32" s="41" t="e">
        <f>ROUNDUP(N32/0.05,3)</f>
        <v>#DIV/0!</v>
      </c>
      <c r="X32" s="28"/>
      <c r="Y32" s="28"/>
    </row>
    <row r="33" spans="1:25" ht="11" customHeight="1">
      <c r="A33" s="62"/>
      <c r="B33" s="24"/>
      <c r="C33" s="21"/>
      <c r="D33" s="15"/>
      <c r="E33" s="15"/>
      <c r="F33" s="51"/>
      <c r="G33" s="51"/>
      <c r="H33" s="57"/>
      <c r="I33" s="18"/>
      <c r="J33" s="69"/>
      <c r="K33" s="38"/>
      <c r="L33" s="39"/>
      <c r="M33" s="39"/>
      <c r="N33" s="75"/>
      <c r="O33" s="75"/>
      <c r="X33" s="28"/>
      <c r="Y33" s="28"/>
    </row>
    <row r="34" spans="1:25" ht="11" customHeight="1">
      <c r="A34" s="60" t="s">
        <v>93</v>
      </c>
      <c r="B34" s="34" t="s">
        <v>12</v>
      </c>
      <c r="C34" s="61">
        <f>'Input Values'!C49</f>
        <v>0</v>
      </c>
      <c r="D34" s="35" t="s">
        <v>138</v>
      </c>
      <c r="E34" s="35"/>
      <c r="F34" s="50">
        <v>2.9240000000000001E-4</v>
      </c>
      <c r="G34" s="50">
        <f>($G$9*1000)/$F$85*F34</f>
        <v>0</v>
      </c>
      <c r="H34" s="56" t="e">
        <f t="shared" si="0"/>
        <v>#DIV/0!</v>
      </c>
      <c r="I34" s="37" t="e">
        <f>IF(H34&lt;0,($B$5*3.785)*(G34-C34),"Elevated")</f>
        <v>#DIV/0!</v>
      </c>
      <c r="J34" s="36" t="s">
        <v>42</v>
      </c>
      <c r="N34" s="74"/>
      <c r="O34" s="74"/>
      <c r="P34" s="169" t="s">
        <v>75</v>
      </c>
      <c r="Q34" s="170"/>
      <c r="R34" s="170"/>
      <c r="S34" s="170"/>
      <c r="T34" s="170"/>
      <c r="X34" s="28"/>
      <c r="Y34" s="28"/>
    </row>
    <row r="35" spans="1:25" ht="11" customHeight="1">
      <c r="A35" s="62"/>
      <c r="B35" s="24"/>
      <c r="C35" s="21"/>
      <c r="D35" s="15"/>
      <c r="E35" s="15"/>
      <c r="F35" s="51"/>
      <c r="G35" s="51"/>
      <c r="H35" s="57"/>
      <c r="I35" s="18"/>
      <c r="J35" s="69"/>
      <c r="K35" s="29"/>
      <c r="L35" s="30"/>
      <c r="M35" s="30"/>
      <c r="N35" s="76"/>
      <c r="O35" s="76"/>
      <c r="X35" s="28"/>
      <c r="Y35" s="28"/>
    </row>
    <row r="36" spans="1:25" ht="11" customHeight="1">
      <c r="A36" s="60" t="s">
        <v>94</v>
      </c>
      <c r="B36" s="34" t="s">
        <v>13</v>
      </c>
      <c r="C36" s="61">
        <f>'Input Values'!C50</f>
        <v>0</v>
      </c>
      <c r="D36" s="35" t="s">
        <v>138</v>
      </c>
      <c r="E36" s="35"/>
      <c r="F36" s="50">
        <v>2.542E-4</v>
      </c>
      <c r="G36" s="50">
        <f>($G$9*1000)/$F$85*F36</f>
        <v>0</v>
      </c>
      <c r="H36" s="56" t="e">
        <f t="shared" si="0"/>
        <v>#DIV/0!</v>
      </c>
      <c r="I36" s="37" t="e">
        <f>IF(H36&lt;0,($B$5*3.785)*(G36-C36),"Elevated")</f>
        <v>#DIV/0!</v>
      </c>
      <c r="J36" s="36" t="s">
        <v>47</v>
      </c>
      <c r="K36" s="41" t="e">
        <f>IF(H36&lt;0,-($B$5*3.785)*(C36-G36)/60560*1000,"None Required")</f>
        <v>#DIV/0!</v>
      </c>
      <c r="L36" s="41" t="e">
        <f>IF(H36&lt;0,-($B$5*3.785)*(C36-G36)/60560*1000*20,"None Required")</f>
        <v>#DIV/0!</v>
      </c>
      <c r="M36" s="41"/>
      <c r="N36" s="41" t="e">
        <f>IF(H36&lt;0,($B$5*3.785)*(C36-G36)/60560*1000/'Input Values'!$C$32*H36,-($B$5*3.785)*(C36-G36)/60560*1000/'Input Values'!$C$32*H36)</f>
        <v>#DIV/0!</v>
      </c>
      <c r="O36" s="41" t="e">
        <f>ROUNDUP(N36/0.05,3)</f>
        <v>#DIV/0!</v>
      </c>
      <c r="U36" s="69" t="e">
        <f>IF(H36&lt;0,($B$5*3.785)*(G36-C36)/24.1*1000,"None Required")</f>
        <v>#DIV/0!</v>
      </c>
      <c r="V36" s="69" t="e">
        <f>IF(H36&lt;0,($B$5*3.785)*(G36-C36)/24.1*1000*20,"None Required")</f>
        <v>#DIV/0!</v>
      </c>
      <c r="X36" s="28" t="e">
        <f>IF(H36&lt;0,($B$5*3.785)*(G36-C36)/24.1*1000/'Input Values'!$C$32*1.05,($B$5*3.785)*(G36-C36)/24.1*1000/'Input Values'!$C$32*1.05)</f>
        <v>#DIV/0!</v>
      </c>
      <c r="Y36" s="28" t="e">
        <f>ROUNDUP(X36/0.05,3)</f>
        <v>#DIV/0!</v>
      </c>
    </row>
    <row r="37" spans="1:25" ht="11" customHeight="1">
      <c r="A37" s="62"/>
      <c r="B37" s="24"/>
      <c r="C37" s="21"/>
      <c r="D37" s="15"/>
      <c r="E37" s="15"/>
      <c r="F37" s="51"/>
      <c r="G37" s="51"/>
      <c r="H37" s="57"/>
      <c r="I37" s="18"/>
      <c r="J37" s="69"/>
      <c r="K37" s="28"/>
      <c r="L37" s="28"/>
      <c r="M37" s="28"/>
      <c r="N37" s="28"/>
      <c r="O37" s="28"/>
    </row>
    <row r="38" spans="1:25" ht="11" customHeight="1">
      <c r="A38" s="60" t="s">
        <v>95</v>
      </c>
      <c r="B38" s="34" t="s">
        <v>61</v>
      </c>
      <c r="C38" s="61">
        <f>'Input Values'!C51</f>
        <v>0</v>
      </c>
      <c r="D38" s="35" t="s">
        <v>138</v>
      </c>
      <c r="E38" s="35"/>
      <c r="F38" s="50">
        <v>1.292</v>
      </c>
      <c r="G38" s="50">
        <f>($G$9*1000)/$F$85*F38</f>
        <v>0</v>
      </c>
      <c r="H38" s="56" t="e">
        <f t="shared" si="0"/>
        <v>#DIV/0!</v>
      </c>
      <c r="I38" s="37" t="e">
        <f>IF(H38&lt;0,($B$5*3.785)*(G38-C38),"Elevated")</f>
        <v>#DIV/0!</v>
      </c>
      <c r="J38" s="36" t="s">
        <v>62</v>
      </c>
      <c r="K38" s="41" t="e">
        <f>IF(H38&lt;0,-($B$5*3.785)*(C38-G38)/10000*1000,"None Required")</f>
        <v>#DIV/0!</v>
      </c>
      <c r="L38" s="41" t="e">
        <f>IF(H38&lt;0,-($B$5*3.785)*(C38-G38)/10000*1000*20,"None Required")</f>
        <v>#DIV/0!</v>
      </c>
      <c r="M38" s="41"/>
      <c r="N38" s="41" t="e">
        <f>IF(H38&lt;0,($B$5*3.785)*(C38-G38)/10000*1000/'Input Values'!$C$32*H38,-($B$5*3.785)*(C38-G38)/10000*1000/'Input Values'!$C$32*H38)</f>
        <v>#DIV/0!</v>
      </c>
      <c r="O38" s="41" t="e">
        <f>ROUNDUP(N38/0.05,3)</f>
        <v>#DIV/0!</v>
      </c>
    </row>
    <row r="39" spans="1:25" ht="11" customHeight="1">
      <c r="A39" s="62"/>
      <c r="B39" s="24"/>
      <c r="C39" s="21"/>
      <c r="D39" s="15"/>
      <c r="E39" s="15"/>
      <c r="F39" s="51"/>
      <c r="G39" s="51"/>
      <c r="H39" s="57"/>
      <c r="I39" s="18"/>
      <c r="J39" s="69"/>
      <c r="K39" s="28"/>
      <c r="L39" s="28"/>
      <c r="M39" s="28"/>
      <c r="N39" s="28"/>
      <c r="O39" s="28"/>
    </row>
    <row r="40" spans="1:25" ht="11" customHeight="1">
      <c r="A40" s="60" t="s">
        <v>96</v>
      </c>
      <c r="B40" s="34" t="s">
        <v>14</v>
      </c>
      <c r="C40" s="61">
        <f>'Input Values'!C52</f>
        <v>0</v>
      </c>
      <c r="D40" s="35" t="s">
        <v>138</v>
      </c>
      <c r="E40" s="35"/>
      <c r="F40" s="50">
        <v>5.5850000000000002E-5</v>
      </c>
      <c r="G40" s="50">
        <f>($G$9*1000)/$F$85*F40</f>
        <v>0</v>
      </c>
      <c r="H40" s="56" t="e">
        <f t="shared" si="0"/>
        <v>#DIV/0!</v>
      </c>
      <c r="I40" s="37" t="e">
        <f>IF(H40&lt;0,($B$5*3.785)*(G40-C40),"Elevated")</f>
        <v>#DIV/0!</v>
      </c>
      <c r="J40" s="36" t="s">
        <v>48</v>
      </c>
      <c r="K40" s="41" t="e">
        <f>IF(H40&lt;0,-($B$5*3.785)*(C40-G40)/10000*1000,"None Required")</f>
        <v>#DIV/0!</v>
      </c>
      <c r="L40" s="41" t="e">
        <f>IF(H40&lt;0,-($B$5*3.785)*(C40-G40)/10000*1000*20,"None Required")</f>
        <v>#DIV/0!</v>
      </c>
      <c r="M40" s="41"/>
      <c r="N40" s="41" t="e">
        <f>IF(H40&lt;0,($B$5*3.785)*(C40-G40)/10000*1000/'Input Values'!$C$32*H40,-($B$5*3.785)*(C40-G40)/10000*1000/'Input Values'!$C$32*H40)</f>
        <v>#DIV/0!</v>
      </c>
      <c r="O40" s="41" t="e">
        <f>ROUNDUP(N40/0.05,3)</f>
        <v>#DIV/0!</v>
      </c>
      <c r="U40" s="69" t="e">
        <f>IF(H40&lt;0,($B$5*3.785)*(G40-C40)/52.9*1000,"None Required")</f>
        <v>#DIV/0!</v>
      </c>
      <c r="V40" s="69" t="e">
        <f>IF(H40&lt;0,($B$5*3.785)*(G40-C40)/52.9*1000*20,"None Required")</f>
        <v>#DIV/0!</v>
      </c>
      <c r="X40" s="28" t="e">
        <f>IF(H40&lt;0,($B$5*3.785)*(G40-C40)/52.9*1000/'Input Values'!$C$32*1.05,($B$5*3.785)*(G40-C40)/52.9*1000/'Input Values'!$C$32*1.05)</f>
        <v>#DIV/0!</v>
      </c>
      <c r="Y40" s="28" t="e">
        <f>ROUNDUP(X40/0.05,3)</f>
        <v>#DIV/0!</v>
      </c>
    </row>
    <row r="41" spans="1:25" ht="11" customHeight="1">
      <c r="A41" s="62"/>
      <c r="B41" s="24"/>
      <c r="C41" s="21"/>
      <c r="D41" s="15"/>
      <c r="E41" s="15"/>
      <c r="F41" s="51"/>
      <c r="G41" s="51"/>
      <c r="H41" s="57"/>
      <c r="I41" s="18"/>
      <c r="J41" s="69"/>
      <c r="K41" s="28"/>
      <c r="L41" s="28"/>
      <c r="M41" s="28"/>
      <c r="N41" s="28"/>
      <c r="O41" s="28"/>
    </row>
    <row r="42" spans="1:25" ht="11" customHeight="1">
      <c r="A42" s="60" t="s">
        <v>97</v>
      </c>
      <c r="B42" s="34" t="s">
        <v>15</v>
      </c>
      <c r="C42" s="61">
        <f>'Input Values'!C53</f>
        <v>0</v>
      </c>
      <c r="D42" s="35" t="s">
        <v>138</v>
      </c>
      <c r="E42" s="35"/>
      <c r="F42" s="50">
        <v>2.092E-5</v>
      </c>
      <c r="G42" s="50">
        <f>($G$9*1000)/$F$85*F42</f>
        <v>0</v>
      </c>
      <c r="H42" s="56" t="e">
        <f t="shared" si="0"/>
        <v>#DIV/0!</v>
      </c>
      <c r="I42" s="37" t="e">
        <f>IF(H42&lt;0,($B$5*3.785)*(G42-C42),"Elevated")</f>
        <v>#DIV/0!</v>
      </c>
      <c r="J42" s="36" t="s">
        <v>42</v>
      </c>
      <c r="N42" s="74"/>
      <c r="O42" s="74"/>
      <c r="P42" s="169" t="s">
        <v>76</v>
      </c>
      <c r="Q42" s="170"/>
      <c r="R42" s="170"/>
      <c r="S42" s="170"/>
      <c r="T42" s="170"/>
    </row>
    <row r="43" spans="1:25" ht="11" customHeight="1">
      <c r="A43" s="62"/>
      <c r="B43" s="24"/>
      <c r="C43" s="21"/>
      <c r="D43" s="15"/>
      <c r="E43" s="15"/>
      <c r="F43" s="51"/>
      <c r="G43" s="51"/>
      <c r="H43" s="57"/>
      <c r="I43" s="18"/>
      <c r="J43" s="69"/>
      <c r="K43" s="29"/>
      <c r="L43" s="30"/>
      <c r="M43" s="30"/>
      <c r="N43" s="76"/>
      <c r="O43" s="76"/>
    </row>
    <row r="44" spans="1:25" ht="11" customHeight="1">
      <c r="A44" s="60" t="s">
        <v>98</v>
      </c>
      <c r="B44" s="34" t="s">
        <v>16</v>
      </c>
      <c r="C44" s="61">
        <f>'Input Values'!C54</f>
        <v>0</v>
      </c>
      <c r="D44" s="35" t="s">
        <v>138</v>
      </c>
      <c r="E44" s="35"/>
      <c r="F44" s="50">
        <v>5.5840000000000001E-2</v>
      </c>
      <c r="G44" s="50">
        <f>($G$9*1000)/$F$85*F44</f>
        <v>0</v>
      </c>
      <c r="H44" s="56" t="e">
        <f t="shared" si="0"/>
        <v>#DIV/0!</v>
      </c>
      <c r="I44" s="37" t="e">
        <f>IF(H44&lt;0,($B$5*3.785)*(G44-C44),"Elevated")</f>
        <v>#DIV/0!</v>
      </c>
      <c r="J44" s="36" t="s">
        <v>49</v>
      </c>
      <c r="K44" s="41" t="e">
        <f>IF(H44&lt;0,-($B$5*3.785)*(C44-G44)/100000*1000,"None Required")</f>
        <v>#DIV/0!</v>
      </c>
      <c r="L44" s="41" t="e">
        <f>IF(H44&lt;0,-($B$5*3.785)*(C44-G44)/100000*1000*20,"None Required")</f>
        <v>#DIV/0!</v>
      </c>
      <c r="M44" s="41"/>
      <c r="N44" s="41" t="e">
        <f>IF(H44&lt;0,($B$5*3.785)*(C44-G44)/100000*1000/'Input Values'!$C$32*H44,-($B$5*3.785)*(C44-G44)/100000*1000/'Input Values'!$C$32*H44)</f>
        <v>#DIV/0!</v>
      </c>
      <c r="O44" s="41" t="e">
        <f>ROUNDUP(N44/0.05,3)</f>
        <v>#DIV/0!</v>
      </c>
      <c r="U44" s="69" t="e">
        <f>IF(H44&lt;0,($B$5*3.785)*(G44-C44)/52840*1000,"None Required")</f>
        <v>#DIV/0!</v>
      </c>
      <c r="V44" s="69" t="e">
        <f>IF(H44&lt;0,($B$5*3.785)*(G44-C44)/52840*1000*20,"None Required")</f>
        <v>#DIV/0!</v>
      </c>
      <c r="X44" s="28" t="e">
        <f>IF(H44&lt;0,($B$5*3.785)*(G44-C44)/52840*1000/'Input Values'!$C$32*1.05,($B$5*3.785)*(G44-C44)/52840*1000/'Input Values'!$C$32*1.05)</f>
        <v>#DIV/0!</v>
      </c>
      <c r="Y44" s="28" t="e">
        <f>ROUNDUP(X44/0.05,3)</f>
        <v>#DIV/0!</v>
      </c>
    </row>
    <row r="45" spans="1:25" ht="11" customHeight="1">
      <c r="A45" s="62"/>
      <c r="B45" s="24"/>
      <c r="C45" s="21"/>
      <c r="D45" s="15"/>
      <c r="E45" s="15"/>
      <c r="F45" s="51"/>
      <c r="G45" s="51"/>
      <c r="H45" s="57"/>
      <c r="I45" s="18"/>
      <c r="J45" s="69"/>
      <c r="K45" s="28"/>
      <c r="L45" s="28"/>
      <c r="M45" s="28"/>
      <c r="N45" s="28"/>
      <c r="O45" s="28"/>
    </row>
    <row r="46" spans="1:25" ht="11" customHeight="1">
      <c r="A46" s="60" t="s">
        <v>99</v>
      </c>
      <c r="B46" s="34" t="s">
        <v>17</v>
      </c>
      <c r="C46" s="61">
        <f>'Input Values'!C55</f>
        <v>0</v>
      </c>
      <c r="D46" s="35" t="s">
        <v>138</v>
      </c>
      <c r="E46" s="35"/>
      <c r="F46" s="50">
        <v>1.148E-7</v>
      </c>
      <c r="G46" s="50">
        <f>($G$9*1000)/$F$85*F46</f>
        <v>0</v>
      </c>
      <c r="H46" s="56" t="e">
        <f t="shared" si="0"/>
        <v>#DIV/0!</v>
      </c>
      <c r="I46" s="37" t="e">
        <f>IF(H46&lt;0,($B$5*3.785)*(G46-C46),"Elevated")</f>
        <v>#DIV/0!</v>
      </c>
      <c r="J46" s="36" t="s">
        <v>42</v>
      </c>
      <c r="N46" s="74"/>
      <c r="O46" s="74"/>
      <c r="P46" s="169" t="s">
        <v>77</v>
      </c>
      <c r="Q46" s="170"/>
      <c r="R46" s="170"/>
      <c r="S46" s="170"/>
      <c r="T46" s="170"/>
    </row>
    <row r="47" spans="1:25" ht="11" customHeight="1">
      <c r="A47" s="62"/>
      <c r="B47" s="24"/>
      <c r="C47" s="21"/>
      <c r="D47" s="15"/>
      <c r="E47" s="15"/>
      <c r="F47" s="51"/>
      <c r="G47" s="51"/>
      <c r="H47" s="57"/>
      <c r="I47" s="18"/>
      <c r="J47" s="69"/>
      <c r="K47" s="29"/>
      <c r="L47" s="30"/>
      <c r="M47" s="30"/>
      <c r="N47" s="76"/>
      <c r="O47" s="76"/>
    </row>
    <row r="48" spans="1:25" ht="11" customHeight="1">
      <c r="A48" s="60" t="s">
        <v>100</v>
      </c>
      <c r="B48" s="34" t="s">
        <v>18</v>
      </c>
      <c r="C48" s="61">
        <f>'Input Values'!C56</f>
        <v>0</v>
      </c>
      <c r="D48" s="35" t="s">
        <v>138</v>
      </c>
      <c r="E48" s="35"/>
      <c r="F48" s="50">
        <v>399.1</v>
      </c>
      <c r="G48" s="50">
        <f>($G$9*1000)/$F$85*F48</f>
        <v>0</v>
      </c>
      <c r="H48" s="56" t="e">
        <f t="shared" si="0"/>
        <v>#DIV/0!</v>
      </c>
      <c r="I48" s="37" t="e">
        <f>IF(H48&lt;0,($B$5*3.785)*(G48-C48),"Elevated")</f>
        <v>#DIV/0!</v>
      </c>
      <c r="J48" s="36" t="s">
        <v>50</v>
      </c>
      <c r="K48" s="41" t="e">
        <f>IF(H48&lt;0,-($B$5*3.785)*(C48-G48)/100000*1000,"None Required")</f>
        <v>#DIV/0!</v>
      </c>
      <c r="L48" s="41" t="e">
        <f>IF(H48&lt;0,-($B$5*3.785)*(C48-G48)/100000*1000*20,"None Required")</f>
        <v>#DIV/0!</v>
      </c>
      <c r="M48" s="41"/>
      <c r="N48" s="41" t="e">
        <f>IF(H48&lt;0,($B$5*3.785)*(C48-G48)/100000*1000/'Input Values'!$C$32*H48,-($B$5*3.785)*(C48-G48)/100000*1000/'Input Values'!$C$32*H48)</f>
        <v>#DIV/0!</v>
      </c>
      <c r="O48" s="41" t="e">
        <f>ROUNDUP(N48/0.05,3)</f>
        <v>#DIV/0!</v>
      </c>
    </row>
    <row r="49" spans="1:25" ht="11" customHeight="1">
      <c r="A49" s="62"/>
      <c r="B49" s="24"/>
      <c r="C49" s="21"/>
      <c r="D49" s="15"/>
      <c r="E49" s="15"/>
      <c r="F49" s="51"/>
      <c r="G49" s="51"/>
      <c r="H49" s="57"/>
      <c r="I49" s="18"/>
      <c r="J49" s="69"/>
      <c r="K49" s="28"/>
      <c r="L49" s="28"/>
      <c r="M49" s="28"/>
      <c r="N49" s="28"/>
      <c r="O49" s="28"/>
    </row>
    <row r="50" spans="1:25" ht="11" customHeight="1">
      <c r="A50" s="60" t="s">
        <v>101</v>
      </c>
      <c r="B50" s="34" t="s">
        <v>19</v>
      </c>
      <c r="C50" s="61">
        <f>'Input Values'!C57</f>
        <v>0</v>
      </c>
      <c r="D50" s="35" t="s">
        <v>138</v>
      </c>
      <c r="E50" s="35"/>
      <c r="F50" s="50">
        <v>0.17349999999999999</v>
      </c>
      <c r="G50" s="50">
        <f>($G$9*1000)/$F$85*F50</f>
        <v>0</v>
      </c>
      <c r="H50" s="56" t="e">
        <f t="shared" si="0"/>
        <v>#DIV/0!</v>
      </c>
      <c r="I50" s="37" t="e">
        <f>IF(H50&lt;0,($B$5*3.785)*(G50-C50),"Elevated")</f>
        <v>#DIV/0!</v>
      </c>
      <c r="J50" s="36" t="s">
        <v>42</v>
      </c>
      <c r="N50" s="74"/>
      <c r="O50" s="74"/>
      <c r="P50" s="169" t="s">
        <v>78</v>
      </c>
      <c r="Q50" s="170"/>
      <c r="R50" s="170"/>
      <c r="S50" s="170"/>
      <c r="T50" s="170"/>
    </row>
    <row r="51" spans="1:25" ht="11" customHeight="1">
      <c r="A51" s="62"/>
      <c r="B51" s="24"/>
      <c r="C51" s="21"/>
      <c r="D51" s="15"/>
      <c r="E51" s="15"/>
      <c r="F51" s="51"/>
      <c r="G51" s="51"/>
      <c r="H51" s="57"/>
      <c r="I51" s="18"/>
      <c r="J51" s="69"/>
      <c r="K51" s="29"/>
      <c r="L51" s="30"/>
      <c r="M51" s="30"/>
      <c r="N51" s="76"/>
      <c r="O51" s="76"/>
    </row>
    <row r="52" spans="1:25" ht="11" customHeight="1">
      <c r="A52" s="60" t="s">
        <v>102</v>
      </c>
      <c r="B52" s="34" t="s">
        <v>20</v>
      </c>
      <c r="C52" s="61">
        <f>'Input Values'!C58</f>
        <v>0</v>
      </c>
      <c r="D52" s="35" t="s">
        <v>138</v>
      </c>
      <c r="E52" s="35"/>
      <c r="F52" s="50">
        <v>1283.7</v>
      </c>
      <c r="G52" s="50">
        <f>($G$9*1000)/$F$85*F52</f>
        <v>0</v>
      </c>
      <c r="H52" s="56" t="e">
        <f t="shared" si="0"/>
        <v>#DIV/0!</v>
      </c>
      <c r="I52" s="37" t="e">
        <f>IF(H52&lt;0,($B$5*3.785)*(G52-C52),"Elevated")</f>
        <v>#DIV/0!</v>
      </c>
      <c r="J52" s="36" t="s">
        <v>51</v>
      </c>
      <c r="K52" s="41" t="e">
        <f>IF(H52&lt;0,-($B$5*3.785)*(C52-G52)/100000*1000,"None Required")</f>
        <v>#DIV/0!</v>
      </c>
      <c r="L52" s="41" t="e">
        <f>IF(H52&lt;0,-($B$5*3.785)*(C52-G52)/100000*1000*20,"None Required")</f>
        <v>#DIV/0!</v>
      </c>
      <c r="M52" s="41"/>
      <c r="N52" s="41" t="e">
        <f>IF(H52&lt;0,($B$5*3.785)*(C52-G52)/100000*1000/'Input Values'!$C$32*H52,-($B$5*3.785)*(C52-G52)/100000*1000/'Input Values'!$C$32*H52)</f>
        <v>#DIV/0!</v>
      </c>
      <c r="O52" s="41" t="e">
        <f>ROUNDUP(N52/0.05,3)</f>
        <v>#DIV/0!</v>
      </c>
    </row>
    <row r="53" spans="1:25" ht="11" customHeight="1">
      <c r="A53" s="62"/>
      <c r="B53" s="24"/>
      <c r="C53" s="21"/>
      <c r="D53" s="15"/>
      <c r="E53" s="15"/>
      <c r="F53" s="51"/>
      <c r="G53" s="51"/>
      <c r="H53" s="57"/>
      <c r="I53" s="18"/>
      <c r="J53" s="69"/>
      <c r="K53" s="28"/>
      <c r="L53" s="28"/>
      <c r="M53" s="28"/>
      <c r="N53" s="28"/>
      <c r="O53" s="28"/>
    </row>
    <row r="54" spans="1:25" ht="11" customHeight="1">
      <c r="A54" s="60" t="s">
        <v>103</v>
      </c>
      <c r="B54" s="34" t="s">
        <v>21</v>
      </c>
      <c r="C54" s="61">
        <f>'Input Values'!C59</f>
        <v>0</v>
      </c>
      <c r="D54" s="35" t="s">
        <v>138</v>
      </c>
      <c r="E54" s="35"/>
      <c r="F54" s="50">
        <v>2.7470000000000001E-4</v>
      </c>
      <c r="G54" s="50">
        <f>($G$9*1000)/$F$85*F54</f>
        <v>0</v>
      </c>
      <c r="H54" s="56" t="e">
        <f t="shared" si="0"/>
        <v>#DIV/0!</v>
      </c>
      <c r="I54" s="37" t="e">
        <f>IF(H54&lt;0,($B$5*3.785)*(G54-C54),"Elevated")</f>
        <v>#DIV/0!</v>
      </c>
      <c r="J54" s="36" t="s">
        <v>52</v>
      </c>
      <c r="K54" s="41" t="e">
        <f>IF(H54&lt;0,-($B$5*3.785)*(C54-G54)/1000*1000,"None Required")</f>
        <v>#DIV/0!</v>
      </c>
      <c r="L54" s="41" t="e">
        <f>IF(H54&lt;0,-($B$5*3.785)*(C54-G54)/1000*1000*20,"None Required")</f>
        <v>#DIV/0!</v>
      </c>
      <c r="M54" s="41"/>
      <c r="N54" s="41" t="e">
        <f>IF(H54&lt;0,($B$5*3.785)*(C54-G54)/1000*1000/'Input Values'!$C$32*H54,-($B$5*3.785)*(C54-G54)/1000*1000/'Input Values'!$C$32*H54)</f>
        <v>#DIV/0!</v>
      </c>
      <c r="O54" s="41" t="e">
        <f>ROUNDUP(N54/0.05,3)</f>
        <v>#DIV/0!</v>
      </c>
      <c r="U54" s="69" t="e">
        <f>IF(H54&lt;0,($B$5*3.785)*(G54-C54)/259.9*1000,"None Required")</f>
        <v>#DIV/0!</v>
      </c>
      <c r="V54" s="69" t="e">
        <f>IF(H54&lt;0,($B$5*3.785)*(G54-C54)/259.9*1000*20,"None Required")</f>
        <v>#DIV/0!</v>
      </c>
      <c r="X54" s="28" t="e">
        <f>IF(H54&lt;0,($B$5*3.785)*(G54-C54)/259.9*1000/'Input Values'!$C$32*1.05,($B$5*3.785)*(G54-C54)/259.9*1000/'Input Values'!$C$32*1.05)</f>
        <v>#DIV/0!</v>
      </c>
      <c r="Y54" s="28" t="e">
        <f>ROUNDUP(X54/0.05,3)</f>
        <v>#DIV/0!</v>
      </c>
    </row>
    <row r="55" spans="1:25" ht="11" customHeight="1">
      <c r="A55" s="62"/>
      <c r="B55" s="24"/>
      <c r="C55" s="21"/>
      <c r="D55" s="15"/>
      <c r="E55" s="15"/>
      <c r="F55" s="51"/>
      <c r="G55" s="51"/>
      <c r="H55" s="57"/>
      <c r="I55" s="18"/>
      <c r="J55" s="69"/>
      <c r="K55" s="28"/>
      <c r="L55" s="28"/>
      <c r="M55" s="28"/>
      <c r="N55" s="28"/>
      <c r="O55" s="28"/>
    </row>
    <row r="56" spans="1:25" ht="11" customHeight="1">
      <c r="A56" s="60" t="s">
        <v>104</v>
      </c>
      <c r="B56" s="34" t="s">
        <v>22</v>
      </c>
      <c r="C56" s="61">
        <f>'Input Values'!C60</f>
        <v>0</v>
      </c>
      <c r="D56" s="35" t="s">
        <v>138</v>
      </c>
      <c r="E56" s="35"/>
      <c r="F56" s="50">
        <v>1.055E-2</v>
      </c>
      <c r="G56" s="50">
        <f>($G$9*1000)/$F$85*F56</f>
        <v>0</v>
      </c>
      <c r="H56" s="56" t="e">
        <f t="shared" si="0"/>
        <v>#DIV/0!</v>
      </c>
      <c r="I56" s="37" t="e">
        <f>IF(H56&lt;0,($B$5*3.785)*(G56-C56),"Elevated")</f>
        <v>#DIV/0!</v>
      </c>
      <c r="J56" s="36" t="s">
        <v>53</v>
      </c>
      <c r="K56" s="41" t="e">
        <f>IF(H56&lt;0,-($B$5*3.785)*(C56-G56)/10000*1000,"None Required")</f>
        <v>#DIV/0!</v>
      </c>
      <c r="L56" s="41" t="e">
        <f>IF(H56&lt;0,-($B$5*3.785)*(C56-G56)/10000*1000*20,"None Required")</f>
        <v>#DIV/0!</v>
      </c>
      <c r="M56" s="41"/>
      <c r="N56" s="41" t="e">
        <f>IF(H56&lt;0,($B$5*3.785)*(C56-G56)/10000*1000/'Input Values'!$C$32*H56,-($B$5*3.785)*(C56-G56)/10000*1000/'Input Values'!$C$32*H56)</f>
        <v>#DIV/0!</v>
      </c>
      <c r="O56" s="41" t="e">
        <f>ROUNDUP(N56/0.05,3)</f>
        <v>#DIV/0!</v>
      </c>
      <c r="U56" s="69" t="e">
        <f>IF(H56&lt;0,($B$5*3.785)*(G56-C56)/998.3*1000,"None Required")</f>
        <v>#DIV/0!</v>
      </c>
      <c r="V56" s="69" t="e">
        <f>IF(H56&lt;0,($B$5*3.785)*(G56-C56)/998.3*1000*20,"None Required")</f>
        <v>#DIV/0!</v>
      </c>
      <c r="X56" s="28" t="e">
        <f>IF(H56&lt;0,($B$5*3.785)*(G56-C56)/998.3*1000/'Input Values'!$C$32*1.05,($B$5*3.785)*(G56-C56)/998.3*1000/'Input Values'!$C$32*1.05)</f>
        <v>#DIV/0!</v>
      </c>
      <c r="Y56" s="28" t="e">
        <f>ROUNDUP(X56/0.05,3)</f>
        <v>#DIV/0!</v>
      </c>
    </row>
    <row r="57" spans="1:25" ht="11" customHeight="1">
      <c r="A57" s="62"/>
      <c r="B57" s="24"/>
      <c r="C57" s="21"/>
      <c r="D57" s="15"/>
      <c r="E57" s="15"/>
      <c r="F57" s="51"/>
      <c r="G57" s="51"/>
      <c r="H57" s="57"/>
      <c r="I57" s="18"/>
      <c r="J57" s="69"/>
      <c r="K57" s="28"/>
      <c r="L57" s="28"/>
      <c r="M57" s="28"/>
      <c r="N57" s="28"/>
      <c r="O57" s="28"/>
    </row>
    <row r="58" spans="1:25" ht="11" customHeight="1">
      <c r="A58" s="60" t="s">
        <v>105</v>
      </c>
      <c r="B58" s="34" t="s">
        <v>23</v>
      </c>
      <c r="C58" s="61">
        <f>'Input Values'!C61</f>
        <v>0</v>
      </c>
      <c r="D58" s="35" t="s">
        <v>138</v>
      </c>
      <c r="E58" s="35"/>
      <c r="F58" s="50">
        <v>10783.8</v>
      </c>
      <c r="G58" s="50">
        <f>($G$9*1000)/$F$85*F58</f>
        <v>0</v>
      </c>
      <c r="H58" s="56" t="e">
        <f t="shared" si="0"/>
        <v>#DIV/0!</v>
      </c>
      <c r="I58" s="37" t="e">
        <f>IF(H58&lt;0,($B$5*3.785)*(G58-C58),"Elevated")</f>
        <v>#DIV/0!</v>
      </c>
      <c r="J58" s="36" t="s">
        <v>42</v>
      </c>
      <c r="N58" s="74"/>
      <c r="O58" s="74"/>
      <c r="P58" s="169" t="s">
        <v>68</v>
      </c>
      <c r="Q58" s="170"/>
      <c r="R58" s="170"/>
      <c r="S58" s="170"/>
      <c r="T58" s="170"/>
    </row>
    <row r="59" spans="1:25" ht="11" customHeight="1">
      <c r="A59" s="62"/>
      <c r="B59" s="24"/>
      <c r="C59" s="21"/>
      <c r="D59" s="15"/>
      <c r="E59" s="15"/>
      <c r="F59" s="51"/>
      <c r="G59" s="51"/>
      <c r="H59" s="57"/>
      <c r="I59" s="18"/>
      <c r="J59" s="69"/>
      <c r="K59" s="29"/>
      <c r="L59" s="30"/>
      <c r="M59" s="30"/>
      <c r="N59" s="76"/>
      <c r="O59" s="76"/>
    </row>
    <row r="60" spans="1:25" ht="11" customHeight="1">
      <c r="A60" s="60" t="s">
        <v>106</v>
      </c>
      <c r="B60" s="34" t="s">
        <v>24</v>
      </c>
      <c r="C60" s="61">
        <f>'Input Values'!C62</f>
        <v>0</v>
      </c>
      <c r="D60" s="35" t="s">
        <v>138</v>
      </c>
      <c r="E60" s="35"/>
      <c r="F60" s="50">
        <v>4.6949999999999997E-4</v>
      </c>
      <c r="G60" s="50">
        <f>($G$9*1000)/$F$85*F60</f>
        <v>0</v>
      </c>
      <c r="H60" s="56" t="e">
        <f t="shared" si="0"/>
        <v>#DIV/0!</v>
      </c>
      <c r="I60" s="37" t="e">
        <f>IF(H60&lt;0,($B$5*3.785)*(G60-C60),"Elevated")</f>
        <v>#DIV/0!</v>
      </c>
      <c r="J60" s="36" t="s">
        <v>54</v>
      </c>
      <c r="K60" s="41" t="e">
        <f>IF(H60&lt;0,-($B$5*3.785)*(C60-G60)/1000*1000,"None Required")</f>
        <v>#DIV/0!</v>
      </c>
      <c r="L60" s="41" t="e">
        <f>IF(H60&lt;0,-($B$5*3.785)*(C60-G60)/1000*1000*20,"None Required")</f>
        <v>#DIV/0!</v>
      </c>
      <c r="M60" s="41"/>
      <c r="N60" s="41" t="e">
        <f>IF(H60&lt;0,($B$5*3.785)*(C60-G60)/1000*1000/'Input Values'!$C$32*H60,-($B$5*3.785)*(C60-G60)/1000*1000/'Input Values'!$C$32*H60)</f>
        <v>#DIV/0!</v>
      </c>
      <c r="O60" s="41" t="e">
        <f>ROUNDUP(N60/0.05,3)</f>
        <v>#DIV/0!</v>
      </c>
      <c r="U60" s="69" t="e">
        <f>IF(H60&lt;0,($B$5*3.785)*(G60-C60)/444.3*1000,"None Required")</f>
        <v>#DIV/0!</v>
      </c>
      <c r="V60" s="69" t="e">
        <f>IF(H60&lt;0,($B$5*3.785)*(G60-C60)/444.3*1000*20,"None Required")</f>
        <v>#DIV/0!</v>
      </c>
      <c r="X60" s="28" t="e">
        <f>IF(H60&lt;0,($B$5*3.785)*(G60-C60)/444.3*1000/'Input Values'!$C$32*1.05,($B$5*3.785)*(G60-C60)/444.3*1000/'Input Values'!$C$32*1.05)</f>
        <v>#DIV/0!</v>
      </c>
      <c r="Y60" s="28" t="e">
        <f>ROUNDUP(X60/0.05,3)</f>
        <v>#DIV/0!</v>
      </c>
    </row>
    <row r="61" spans="1:25" ht="11" customHeight="1">
      <c r="A61" s="62"/>
      <c r="B61" s="24"/>
      <c r="C61" s="21"/>
      <c r="D61" s="15"/>
      <c r="E61" s="15"/>
      <c r="F61" s="51"/>
      <c r="G61" s="51"/>
      <c r="H61" s="57"/>
      <c r="I61" s="18"/>
      <c r="J61" s="69"/>
      <c r="K61" s="28"/>
      <c r="L61" s="28"/>
      <c r="M61" s="28"/>
      <c r="N61" s="28"/>
      <c r="O61" s="28"/>
    </row>
    <row r="62" spans="1:25" ht="11" customHeight="1">
      <c r="A62" s="60" t="s">
        <v>107</v>
      </c>
      <c r="B62" s="34" t="s">
        <v>25</v>
      </c>
      <c r="C62" s="61">
        <f>'Input Values'!C63</f>
        <v>0</v>
      </c>
      <c r="D62" s="35" t="s">
        <v>138</v>
      </c>
      <c r="E62" s="35"/>
      <c r="F62" s="50">
        <v>2.0719999999999998E-6</v>
      </c>
      <c r="G62" s="50">
        <f>($G$9*1000)/$F$85*F62</f>
        <v>0</v>
      </c>
      <c r="H62" s="56" t="e">
        <f t="shared" si="0"/>
        <v>#DIV/0!</v>
      </c>
      <c r="I62" s="37" t="e">
        <f>IF(H62&lt;0,($B$5*3.785)*(G62-C62),"Elevated")</f>
        <v>#DIV/0!</v>
      </c>
      <c r="J62" s="36" t="s">
        <v>42</v>
      </c>
      <c r="N62" s="74"/>
      <c r="O62" s="74"/>
      <c r="P62" s="169" t="s">
        <v>79</v>
      </c>
      <c r="Q62" s="170"/>
      <c r="R62" s="170"/>
      <c r="S62" s="170"/>
      <c r="T62" s="170"/>
    </row>
    <row r="63" spans="1:25" ht="11" customHeight="1">
      <c r="A63" s="62"/>
      <c r="B63" s="24"/>
      <c r="C63" s="21"/>
      <c r="D63" s="15"/>
      <c r="E63" s="15"/>
      <c r="F63" s="51"/>
      <c r="G63" s="51"/>
      <c r="H63" s="57"/>
      <c r="I63" s="18"/>
      <c r="J63" s="69"/>
      <c r="K63" s="29"/>
      <c r="L63" s="30"/>
      <c r="M63" s="30"/>
      <c r="N63" s="76"/>
      <c r="O63" s="76"/>
    </row>
    <row r="64" spans="1:25" ht="11" customHeight="1">
      <c r="A64" s="60" t="s">
        <v>108</v>
      </c>
      <c r="B64" s="34" t="s">
        <v>26</v>
      </c>
      <c r="C64" s="61">
        <f>'Input Values'!C64</f>
        <v>0</v>
      </c>
      <c r="D64" s="35" t="s">
        <v>138</v>
      </c>
      <c r="E64" s="35"/>
      <c r="F64" s="50">
        <v>0.1197</v>
      </c>
      <c r="G64" s="50">
        <f>($G$9*1000)/$F$85*F64</f>
        <v>0</v>
      </c>
      <c r="H64" s="56" t="e">
        <f t="shared" si="0"/>
        <v>#DIV/0!</v>
      </c>
      <c r="I64" s="37" t="e">
        <f>IF(H64&lt;0,($B$5*3.785)*(G64-C64),"Elevated")</f>
        <v>#DIV/0!</v>
      </c>
      <c r="J64" s="36" t="s">
        <v>55</v>
      </c>
      <c r="K64" s="41" t="e">
        <f>IF(H64&lt;0,-($B$5*3.785)*(C64-G64)/10000*1000,"None Required")</f>
        <v>#DIV/0!</v>
      </c>
      <c r="L64" s="41" t="e">
        <f>IF(H64&lt;0,-($B$5*3.785)*(C64-G64)/10000*1000*20,"None Required")</f>
        <v>#DIV/0!</v>
      </c>
      <c r="M64" s="41"/>
      <c r="N64" s="41" t="e">
        <f>IF(H64&lt;0,($B$5*3.785)*(C64-G64)/10000*1000/'Input Values'!$C$32*H64,-($B$5*3.785)*(C64-G64)/10000*1000/'Input Values'!$C$32*H64)</f>
        <v>#DIV/0!</v>
      </c>
      <c r="O64" s="41" t="e">
        <f>ROUNDUP(N64/0.05,3)</f>
        <v>#DIV/0!</v>
      </c>
    </row>
    <row r="65" spans="1:25" ht="11" customHeight="1">
      <c r="A65" s="62"/>
      <c r="B65" s="24"/>
      <c r="C65" s="21"/>
      <c r="D65" s="15"/>
      <c r="E65" s="15"/>
      <c r="F65" s="51"/>
      <c r="G65" s="51"/>
      <c r="H65" s="57"/>
      <c r="I65" s="18"/>
      <c r="J65" s="69"/>
      <c r="K65" s="28"/>
      <c r="L65" s="28"/>
      <c r="M65" s="28"/>
      <c r="N65" s="28"/>
      <c r="O65" s="28"/>
    </row>
    <row r="66" spans="1:25" ht="11" customHeight="1">
      <c r="A66" s="60" t="s">
        <v>109</v>
      </c>
      <c r="B66" s="34" t="s">
        <v>27</v>
      </c>
      <c r="C66" s="61">
        <f>'Input Values'!C65</f>
        <v>0</v>
      </c>
      <c r="D66" s="35" t="s">
        <v>138</v>
      </c>
      <c r="E66" s="35"/>
      <c r="F66" s="50">
        <v>905.37947099999997</v>
      </c>
      <c r="G66" s="50">
        <f>($G$9*1000)/$F$85*F66</f>
        <v>0</v>
      </c>
      <c r="H66" s="56" t="e">
        <f t="shared" si="0"/>
        <v>#DIV/0!</v>
      </c>
      <c r="I66" s="37" t="e">
        <f>IF(H66&lt;0,($B$5*3.785)*(G66-C66),"Elevated")</f>
        <v>#DIV/0!</v>
      </c>
      <c r="J66" s="36" t="s">
        <v>42</v>
      </c>
      <c r="N66" s="74"/>
      <c r="O66" s="74"/>
      <c r="P66" s="167" t="s">
        <v>141</v>
      </c>
      <c r="Q66" s="167"/>
      <c r="R66" s="167"/>
      <c r="S66" s="167"/>
      <c r="T66" s="167"/>
    </row>
    <row r="67" spans="1:25" ht="11" customHeight="1">
      <c r="A67" s="62"/>
      <c r="B67" s="24"/>
      <c r="C67" s="21"/>
      <c r="D67" s="15"/>
      <c r="E67" s="15"/>
      <c r="F67" s="51"/>
      <c r="G67" s="51"/>
      <c r="H67" s="57"/>
      <c r="I67" s="20"/>
      <c r="J67" s="69"/>
      <c r="K67" s="29"/>
      <c r="L67" s="29"/>
      <c r="M67" s="29"/>
      <c r="N67" s="29"/>
      <c r="O67" s="29"/>
    </row>
    <row r="68" spans="1:25" ht="11" customHeight="1">
      <c r="A68" s="60" t="s">
        <v>110</v>
      </c>
      <c r="B68" s="34" t="s">
        <v>28</v>
      </c>
      <c r="C68" s="61">
        <f>'Input Values'!C66</f>
        <v>0</v>
      </c>
      <c r="D68" s="35" t="s">
        <v>138</v>
      </c>
      <c r="E68" s="35"/>
      <c r="F68" s="50">
        <v>1.3420000000000001E-4</v>
      </c>
      <c r="G68" s="50">
        <f>($G$9*1000)/$F$85*F68</f>
        <v>0</v>
      </c>
      <c r="H68" s="56" t="e">
        <f t="shared" si="0"/>
        <v>#DIV/0!</v>
      </c>
      <c r="I68" s="37" t="e">
        <f>IF(H68&lt;0,($B$5*3.785)*(G68-C68),"Elevated")</f>
        <v>#DIV/0!</v>
      </c>
      <c r="J68" s="36" t="s">
        <v>56</v>
      </c>
      <c r="K68" s="41" t="e">
        <f>IF(H68&lt;0,-($B$5*3.785)*(C68-G68)/250*1000,"None Required")</f>
        <v>#DIV/0!</v>
      </c>
      <c r="L68" s="41" t="e">
        <f>IF(H68&lt;0,-($B$5*3.785)*(C68-G68)/250*1000*20,"None Required")</f>
        <v>#DIV/0!</v>
      </c>
      <c r="M68" s="41"/>
      <c r="N68" s="41" t="e">
        <f>IF(H68&lt;0,($B$5*3.785)*(C68-G68)/250*1000/'Input Values'!$C$32*H68,-($B$5*3.785)*(C68-G68)/250*1000/'Input Values'!$C$32*H68)</f>
        <v>#DIV/0!</v>
      </c>
      <c r="O68" s="41" t="e">
        <f>ROUNDUP(N68/0.05,3)</f>
        <v>#DIV/0!</v>
      </c>
      <c r="U68" s="69" t="e">
        <f>IF(H68&lt;0,($B$5*3.785)*(G68-C68)/12.7*1000,"None Required")</f>
        <v>#DIV/0!</v>
      </c>
      <c r="V68" s="69" t="e">
        <f>IF(H68&lt;0,($B$5*3.785)*(G68-C68)/12.7*1000*20,"None Required")</f>
        <v>#DIV/0!</v>
      </c>
      <c r="X68" s="28" t="e">
        <f>IF(H68&lt;0,($B$5*3.785)*(G68-C68)/12.7*1000/'Input Values'!$C$32*1.05,($B$5*3.785)*(G68-C68)/12.7*1000/'Input Values'!$C$32*1.05)</f>
        <v>#DIV/0!</v>
      </c>
      <c r="Y68" s="28" t="e">
        <f>ROUNDUP(X68/0.05,3)</f>
        <v>#DIV/0!</v>
      </c>
    </row>
    <row r="69" spans="1:25" ht="11" customHeight="1">
      <c r="A69" s="62"/>
      <c r="B69" s="24"/>
      <c r="C69" s="21"/>
      <c r="D69" s="15"/>
      <c r="E69" s="15"/>
      <c r="F69" s="51"/>
      <c r="G69" s="51"/>
      <c r="H69" s="57"/>
      <c r="I69" s="20"/>
      <c r="J69" s="69"/>
      <c r="K69" s="28"/>
      <c r="L69" s="28"/>
      <c r="M69" s="28"/>
      <c r="N69" s="28"/>
      <c r="O69" s="28"/>
    </row>
    <row r="70" spans="1:25" ht="11" customHeight="1">
      <c r="A70" s="60" t="s">
        <v>111</v>
      </c>
      <c r="B70" s="34" t="s">
        <v>29</v>
      </c>
      <c r="C70" s="61">
        <f>'Input Values'!C67</f>
        <v>0</v>
      </c>
      <c r="D70" s="35" t="s">
        <v>138</v>
      </c>
      <c r="E70" s="35"/>
      <c r="F70" s="50">
        <v>2.8090000000000002</v>
      </c>
      <c r="G70" s="50">
        <f>($G$9*1000)/$F$85*F70</f>
        <v>0</v>
      </c>
      <c r="H70" s="56" t="e">
        <f t="shared" si="0"/>
        <v>#DIV/0!</v>
      </c>
      <c r="I70" s="37" t="e">
        <f>IF(H70&lt;0,($B$5*3.785)*(G70-C70),"Elevated")</f>
        <v>#DIV/0!</v>
      </c>
      <c r="J70" s="36" t="s">
        <v>57</v>
      </c>
      <c r="K70" s="41" t="e">
        <f>IF(H70&lt;0,-($B$5*3.785)*(C70-G70)/10000*1000,"None Required")</f>
        <v>#DIV/0!</v>
      </c>
      <c r="L70" s="41" t="e">
        <f>IF(H70&lt;0,-($B$5*3.785)*(C70-G70)/10000*1000*20,"None Required")</f>
        <v>#DIV/0!</v>
      </c>
      <c r="M70" s="41"/>
      <c r="N70" s="41" t="e">
        <f>IF(H70&lt;0,($B$5*3.785)*(C70-G70)/10000*1000/'Input Values'!$C$32*H70,-($B$5*3.785)*(C70-G70)/10000*1000/'Input Values'!$C$32*H70)</f>
        <v>#DIV/0!</v>
      </c>
      <c r="O70" s="41" t="e">
        <f>ROUNDUP(N70/0.05,3)</f>
        <v>#DIV/0!</v>
      </c>
    </row>
    <row r="71" spans="1:25" ht="11" customHeight="1">
      <c r="A71" s="62"/>
      <c r="B71" s="24"/>
      <c r="C71" s="21"/>
      <c r="D71" s="15"/>
      <c r="E71" s="15"/>
      <c r="F71" s="51"/>
      <c r="G71" s="51"/>
      <c r="H71" s="57"/>
      <c r="I71" s="20"/>
      <c r="J71" s="69"/>
      <c r="K71" s="28"/>
      <c r="L71" s="28"/>
      <c r="M71" s="28"/>
      <c r="N71" s="28"/>
      <c r="O71" s="28"/>
    </row>
    <row r="72" spans="1:25" ht="11" customHeight="1">
      <c r="A72" s="60" t="s">
        <v>112</v>
      </c>
      <c r="B72" s="34" t="s">
        <v>30</v>
      </c>
      <c r="C72" s="61">
        <f>'Input Values'!C68</f>
        <v>0</v>
      </c>
      <c r="D72" s="35" t="s">
        <v>138</v>
      </c>
      <c r="E72" s="35"/>
      <c r="F72" s="50">
        <v>7.9</v>
      </c>
      <c r="G72" s="50">
        <f>($G$9*1000)/$F$85*F72</f>
        <v>0</v>
      </c>
      <c r="H72" s="56" t="e">
        <f t="shared" si="0"/>
        <v>#DIV/0!</v>
      </c>
      <c r="I72" s="37" t="e">
        <f>IF(H72&lt;0,($B$5*3.785)*(G72-C72),"Elevated")</f>
        <v>#DIV/0!</v>
      </c>
      <c r="J72" s="36" t="s">
        <v>58</v>
      </c>
      <c r="K72" s="41" t="e">
        <f>IF(H72&lt;0,-($B$5*3.785)*(C72-G72)/100000*1000,"None Required")</f>
        <v>#DIV/0!</v>
      </c>
      <c r="L72" s="41" t="e">
        <f>IF(H72&lt;0,-($B$5*3.785)*(C72-G72)/100000*1000*20,"None Required")</f>
        <v>#DIV/0!</v>
      </c>
      <c r="M72" s="41"/>
      <c r="N72" s="41" t="e">
        <f>IF(H72&lt;0,($B$5*3.785)*(C72-G72)/100000*1000/'Input Values'!$C$32*H72,-($B$5*3.785)*(C72-G72)/100000*1000/'Input Values'!$C$32*H72)</f>
        <v>#DIV/0!</v>
      </c>
      <c r="O72" s="41" t="e">
        <f>ROUNDUP(N72/0.05,3)</f>
        <v>#DIV/0!</v>
      </c>
    </row>
    <row r="73" spans="1:25" ht="11" customHeight="1">
      <c r="A73" s="62"/>
      <c r="B73" s="24"/>
      <c r="C73" s="21"/>
      <c r="D73" s="15"/>
      <c r="E73" s="15"/>
      <c r="F73" s="51"/>
      <c r="G73" s="51"/>
      <c r="H73" s="57"/>
      <c r="I73" s="20"/>
      <c r="J73" s="69"/>
      <c r="K73" s="28"/>
      <c r="L73" s="28"/>
      <c r="M73" s="28"/>
      <c r="N73" s="28"/>
      <c r="O73" s="28"/>
    </row>
    <row r="74" spans="1:25" ht="11" customHeight="1">
      <c r="A74" s="60" t="s">
        <v>113</v>
      </c>
      <c r="B74" s="34" t="s">
        <v>34</v>
      </c>
      <c r="C74" s="61">
        <f>'Input Values'!C69</f>
        <v>0</v>
      </c>
      <c r="D74" s="35" t="s">
        <v>138</v>
      </c>
      <c r="E74" s="35"/>
      <c r="F74" s="50">
        <v>1.226E-5</v>
      </c>
      <c r="G74" s="50">
        <f>($G$9*1000)/$F$85*F74</f>
        <v>0</v>
      </c>
      <c r="H74" s="56" t="e">
        <f t="shared" si="0"/>
        <v>#DIV/0!</v>
      </c>
      <c r="I74" s="37" t="e">
        <f>IF(H74&lt;0,($B$5*3.785)*(G74-C74),"Elevated")</f>
        <v>#DIV/0!</v>
      </c>
      <c r="J74" s="36" t="s">
        <v>42</v>
      </c>
      <c r="N74" s="74"/>
      <c r="O74" s="74"/>
      <c r="P74" s="169" t="s">
        <v>81</v>
      </c>
      <c r="Q74" s="170"/>
      <c r="R74" s="170"/>
      <c r="S74" s="170"/>
      <c r="T74" s="170"/>
    </row>
    <row r="75" spans="1:25" ht="11" customHeight="1">
      <c r="A75" s="62"/>
      <c r="B75" s="24"/>
      <c r="C75" s="21"/>
      <c r="D75" s="15"/>
      <c r="E75" s="15"/>
      <c r="F75" s="51"/>
      <c r="G75" s="51"/>
      <c r="H75" s="57"/>
      <c r="I75" s="20"/>
      <c r="J75" s="69"/>
      <c r="K75" s="29"/>
      <c r="L75" s="30"/>
      <c r="M75" s="30"/>
      <c r="N75" s="76"/>
      <c r="O75" s="76"/>
    </row>
    <row r="76" spans="1:25" ht="11" customHeight="1">
      <c r="A76" s="60" t="s">
        <v>114</v>
      </c>
      <c r="B76" s="34" t="s">
        <v>31</v>
      </c>
      <c r="C76" s="61">
        <f>'Input Values'!C70</f>
        <v>0</v>
      </c>
      <c r="D76" s="35" t="s">
        <v>138</v>
      </c>
      <c r="E76" s="35"/>
      <c r="F76" s="50">
        <v>3.094E-3</v>
      </c>
      <c r="G76" s="50">
        <f>($G$9*1000)/$F$85*F76</f>
        <v>0</v>
      </c>
      <c r="H76" s="56" t="e">
        <f t="shared" si="0"/>
        <v>#DIV/0!</v>
      </c>
      <c r="I76" s="37" t="e">
        <f>IF(H76&lt;0,($B$5*3.785)*(G76-C76),"Elevated")</f>
        <v>#DIV/0!</v>
      </c>
      <c r="J76" s="36" t="s">
        <v>42</v>
      </c>
      <c r="N76" s="74"/>
      <c r="O76" s="74"/>
      <c r="P76" s="169" t="s">
        <v>80</v>
      </c>
      <c r="Q76" s="170"/>
      <c r="R76" s="170"/>
      <c r="S76" s="170"/>
      <c r="T76" s="170"/>
    </row>
    <row r="77" spans="1:25" ht="11" customHeight="1">
      <c r="A77" s="62"/>
      <c r="B77" s="24"/>
      <c r="C77" s="21"/>
      <c r="D77" s="15"/>
      <c r="E77" s="15"/>
      <c r="F77" s="51"/>
      <c r="G77" s="51"/>
      <c r="H77" s="57"/>
      <c r="I77" s="18"/>
      <c r="J77" s="69"/>
      <c r="K77" s="29"/>
      <c r="L77" s="30"/>
      <c r="M77" s="30"/>
      <c r="N77" s="76"/>
      <c r="O77" s="76"/>
    </row>
    <row r="78" spans="1:25" ht="11" customHeight="1">
      <c r="A78" s="60" t="s">
        <v>115</v>
      </c>
      <c r="B78" s="34" t="s">
        <v>32</v>
      </c>
      <c r="C78" s="61">
        <f>'Input Values'!C71</f>
        <v>0</v>
      </c>
      <c r="D78" s="35" t="s">
        <v>138</v>
      </c>
      <c r="E78" s="35"/>
      <c r="F78" s="50">
        <v>2E-3</v>
      </c>
      <c r="G78" s="50">
        <f>($G$9*1000)/$F$85*F78</f>
        <v>0</v>
      </c>
      <c r="H78" s="56" t="e">
        <f t="shared" si="0"/>
        <v>#DIV/0!</v>
      </c>
      <c r="I78" s="37" t="e">
        <f>IF(H78&lt;0,($B$5*3.785)*(G78-C78),"Elevated")</f>
        <v>#DIV/0!</v>
      </c>
      <c r="J78" s="36" t="s">
        <v>59</v>
      </c>
      <c r="K78" s="41" t="e">
        <f>IF(H78&lt;0,-($B$5*3.785)*(C78-G78)/1000*1000,"None Required")</f>
        <v>#DIV/0!</v>
      </c>
      <c r="L78" s="41" t="e">
        <f>IF(H78&lt;0,-($B$5*3.785)*(C78-G78)/1000*1000*20,"None Required")</f>
        <v>#DIV/0!</v>
      </c>
      <c r="M78" s="41"/>
      <c r="N78" s="41" t="e">
        <f>IF(H78&lt;0,($B$5*3.785)*(C78-G78)/1000*1000/'Input Values'!$C$32*H78,-($B$5*3.785)*(C78-G78)/1000*1000/'Input Values'!$C$32*H78)</f>
        <v>#DIV/0!</v>
      </c>
      <c r="O78" s="41" t="e">
        <f>ROUNDUP(N78/0.05,3)</f>
        <v>#DIV/0!</v>
      </c>
      <c r="U78" s="69" t="e">
        <f>IF(H78&lt;0,($B$5*3.785)*(G78-C78)/110.4*1000,"None Required")</f>
        <v>#DIV/0!</v>
      </c>
      <c r="V78" s="69" t="e">
        <f>IF(H78&lt;0,($B$5*3.785)*(G78-C78)/110.4*1000*20,"None Required")</f>
        <v>#DIV/0!</v>
      </c>
      <c r="X78" s="28" t="e">
        <f>IF(H78&lt;0,($B$5*3.785)*(G78-C78)/110.4*1000/'Input Values'!$C$32*1.05,($B$5*3.785)*(G78-C78)/110.4*1000/'Input Values'!$C$32*1.05)</f>
        <v>#DIV/0!</v>
      </c>
      <c r="Y78" s="28" t="e">
        <f>ROUNDUP(X78/0.05,3)</f>
        <v>#DIV/0!</v>
      </c>
    </row>
    <row r="79" spans="1:25" ht="11" customHeight="1">
      <c r="A79" s="62"/>
      <c r="B79" s="24"/>
      <c r="C79" s="21"/>
      <c r="D79" s="15"/>
      <c r="E79" s="15"/>
      <c r="F79" s="51"/>
      <c r="G79" s="51"/>
      <c r="H79" s="57"/>
      <c r="I79" s="18"/>
      <c r="J79" s="69"/>
      <c r="K79" s="28"/>
      <c r="L79" s="28"/>
      <c r="M79" s="28"/>
      <c r="N79" s="28"/>
      <c r="O79" s="28"/>
    </row>
    <row r="80" spans="1:25" ht="11" customHeight="1">
      <c r="A80" s="60" t="s">
        <v>116</v>
      </c>
      <c r="B80" s="34" t="s">
        <v>33</v>
      </c>
      <c r="C80" s="61">
        <f>'Input Values'!C72</f>
        <v>0</v>
      </c>
      <c r="D80" s="35" t="s">
        <v>138</v>
      </c>
      <c r="E80" s="35"/>
      <c r="F80" s="50">
        <v>3.925E-4</v>
      </c>
      <c r="G80" s="50">
        <f>($G$9*1000)/$F$85*F80</f>
        <v>0</v>
      </c>
      <c r="H80" s="56" t="e">
        <f t="shared" si="0"/>
        <v>#DIV/0!</v>
      </c>
      <c r="I80" s="37" t="e">
        <f>IF(H80&lt;0,($B$5*3.785)*(G80-C80),"Elevated")</f>
        <v>#DIV/0!</v>
      </c>
      <c r="J80" s="36" t="s">
        <v>60</v>
      </c>
      <c r="K80" s="41" t="e">
        <f>IF(H80&lt;0,-($B$5*3.785)*(C80-G80)/1000*1000,"None Required")</f>
        <v>#DIV/0!</v>
      </c>
      <c r="L80" s="41" t="e">
        <f>IF(H80&lt;0,-($B$5*3.785)*(C80-G80)/1000*1000*20,"None Required")</f>
        <v>#DIV/0!</v>
      </c>
      <c r="M80" s="41"/>
      <c r="N80" s="41" t="e">
        <f>IF(H80&lt;0,($B$5*3.785)*(C80-G80)/1000*1000/'Input Values'!$C$32*H80,-($B$5*3.785)*(C80-G80)/1000*1000/'Input Values'!$C$32*H80)</f>
        <v>#DIV/0!</v>
      </c>
      <c r="O80" s="41" t="e">
        <f>ROUNDUP(N80/0.05,3)</f>
        <v>#DIV/0!</v>
      </c>
      <c r="U80" s="69" t="e">
        <f>IF(H80&lt;0,($B$5*3.785)*(G80-C80)/371.4*1000,"None Required")</f>
        <v>#DIV/0!</v>
      </c>
      <c r="V80" s="69" t="e">
        <f>IF(H80&lt;0,($B$5*3.785)*(G80-C80)/371.4*1000*20,"None Required")</f>
        <v>#DIV/0!</v>
      </c>
      <c r="X80" s="28" t="e">
        <f>IF(H80&lt;0,($B$5*3.785)*(G80-C80)/371.4*1000/'Input Values'!$C$32*1.05,($B$5*3.785)*(G80-C80)/371.4*1000/'Input Values'!$C$32*1.05)</f>
        <v>#DIV/0!</v>
      </c>
      <c r="Y80" s="28" t="e">
        <f>ROUNDUP(X80/0.05,3)</f>
        <v>#DIV/0!</v>
      </c>
    </row>
    <row r="81" spans="1:20" ht="11" customHeight="1">
      <c r="A81" s="62"/>
      <c r="B81" s="24"/>
      <c r="C81" s="21"/>
      <c r="D81" s="15"/>
      <c r="E81" s="15"/>
      <c r="F81" s="51"/>
      <c r="G81" s="51"/>
      <c r="H81" s="57"/>
      <c r="I81" s="18"/>
      <c r="J81" s="69"/>
      <c r="K81" s="28"/>
      <c r="L81" s="28"/>
      <c r="M81" s="28"/>
      <c r="N81" s="32"/>
      <c r="O81" s="32"/>
    </row>
    <row r="82" spans="1:20" ht="11" customHeight="1">
      <c r="A82" s="42" t="s">
        <v>129</v>
      </c>
      <c r="B82" s="36"/>
      <c r="C82" s="45">
        <f t="shared" ref="C82" si="1">C66*((32.065+(4*15.9994))/32.065)</f>
        <v>0</v>
      </c>
      <c r="D82" s="35" t="s">
        <v>138</v>
      </c>
      <c r="E82" s="37"/>
      <c r="F82" s="52">
        <v>2712.4</v>
      </c>
      <c r="G82" s="50">
        <f t="shared" ref="G82" si="2">G66*((32.065+(4*15.9994))/32.065)</f>
        <v>0</v>
      </c>
      <c r="H82" s="56" t="e">
        <f t="shared" si="0"/>
        <v>#DIV/0!</v>
      </c>
      <c r="I82" s="46" t="e">
        <f>I24</f>
        <v>#DIV/0!</v>
      </c>
      <c r="J82" s="63"/>
      <c r="P82" s="167" t="s">
        <v>140</v>
      </c>
      <c r="Q82" s="167"/>
      <c r="R82" s="167"/>
      <c r="S82" s="167"/>
      <c r="T82" s="167"/>
    </row>
    <row r="83" spans="1:20" ht="11" customHeight="1">
      <c r="A83" s="42"/>
      <c r="B83" s="36"/>
      <c r="C83" s="45"/>
      <c r="D83" s="35"/>
      <c r="E83" s="37"/>
      <c r="F83" s="52"/>
      <c r="G83" s="50"/>
      <c r="H83" s="56"/>
      <c r="I83" s="46"/>
      <c r="J83" s="63"/>
      <c r="P83" s="168"/>
      <c r="Q83" s="168"/>
      <c r="R83" s="168"/>
      <c r="S83" s="168"/>
      <c r="T83" s="168"/>
    </row>
    <row r="84" spans="1:20" ht="11" customHeight="1">
      <c r="A84" s="19"/>
      <c r="B84" s="69"/>
      <c r="C84" s="20"/>
      <c r="D84" s="15"/>
      <c r="E84" s="18"/>
      <c r="F84" s="53"/>
      <c r="G84" s="51"/>
      <c r="H84" s="57"/>
      <c r="I84" s="33"/>
      <c r="K84" s="64"/>
      <c r="L84" s="64"/>
      <c r="M84" s="64"/>
      <c r="N84" s="64"/>
      <c r="O84" s="64"/>
    </row>
    <row r="85" spans="1:20" ht="11" customHeight="1">
      <c r="A85" s="19" t="s">
        <v>130</v>
      </c>
      <c r="B85" s="69"/>
      <c r="C85" s="20">
        <f>('Input Values'!C34/0.056)+SUM(C10:C82)-C66</f>
        <v>0</v>
      </c>
      <c r="D85" s="18" t="s">
        <v>138</v>
      </c>
      <c r="E85" s="18"/>
      <c r="F85" s="54">
        <f>('Input Values'!C34/0.056)+SUM(F10:F82)-F66</f>
        <v>35027.954165060612</v>
      </c>
      <c r="G85" s="54">
        <f>('Input Values'!C34/0.056)+SUM(G10:G82)-G66</f>
        <v>0</v>
      </c>
      <c r="H85" s="58"/>
    </row>
    <row r="86" spans="1:20" ht="11" customHeight="1">
      <c r="A86" s="19"/>
      <c r="B86" s="69"/>
      <c r="C86" s="20"/>
      <c r="D86" s="18"/>
      <c r="E86" s="18"/>
      <c r="F86" s="21"/>
      <c r="G86" s="22"/>
      <c r="H86" s="23"/>
    </row>
    <row r="87" spans="1:20" ht="11" customHeight="1">
      <c r="A87" s="19" t="s">
        <v>131</v>
      </c>
      <c r="B87" s="19"/>
      <c r="C87" s="20"/>
      <c r="D87" s="18"/>
      <c r="E87" s="18"/>
      <c r="F87" s="21"/>
      <c r="G87" s="22"/>
      <c r="H87" s="23"/>
    </row>
    <row r="88" spans="1:20" ht="11" customHeight="1">
      <c r="A88" s="19"/>
      <c r="B88" s="19"/>
      <c r="C88" s="20"/>
      <c r="D88" s="18"/>
      <c r="E88" s="18"/>
      <c r="F88" s="21"/>
      <c r="G88" s="22"/>
      <c r="H88" s="23"/>
    </row>
    <row r="89" spans="1:20" ht="11" customHeight="1">
      <c r="A89" s="8" t="s">
        <v>144</v>
      </c>
    </row>
    <row r="90" spans="1:20" ht="11" customHeight="1"/>
    <row r="91" spans="1:20" ht="11" customHeight="1">
      <c r="A91" s="8" t="s">
        <v>135</v>
      </c>
    </row>
    <row r="92" spans="1:20" ht="11" customHeight="1"/>
    <row r="93" spans="1:20" ht="11" customHeight="1">
      <c r="A93" s="8" t="s">
        <v>143</v>
      </c>
    </row>
  </sheetData>
  <sheetProtection password="F283" sheet="1" objects="1" scenarios="1" selectLockedCells="1" selectUnlockedCells="1"/>
  <mergeCells count="29">
    <mergeCell ref="B2:C2"/>
    <mergeCell ref="B3:C3"/>
    <mergeCell ref="B4:C4"/>
    <mergeCell ref="B5:C5"/>
    <mergeCell ref="P16:T16"/>
    <mergeCell ref="P10:T10"/>
    <mergeCell ref="P12:T12"/>
    <mergeCell ref="P18:T18"/>
    <mergeCell ref="P20:T20"/>
    <mergeCell ref="F6:H6"/>
    <mergeCell ref="K8:L8"/>
    <mergeCell ref="N8:O8"/>
    <mergeCell ref="N2:P6"/>
    <mergeCell ref="U8:V8"/>
    <mergeCell ref="X8:Y8"/>
    <mergeCell ref="U7:Y7"/>
    <mergeCell ref="P82:T83"/>
    <mergeCell ref="C9:D9"/>
    <mergeCell ref="P74:T74"/>
    <mergeCell ref="P76:T76"/>
    <mergeCell ref="P46:T46"/>
    <mergeCell ref="P50:T50"/>
    <mergeCell ref="P58:T58"/>
    <mergeCell ref="P62:T62"/>
    <mergeCell ref="P66:T66"/>
    <mergeCell ref="P26:T26"/>
    <mergeCell ref="P28:T28"/>
    <mergeCell ref="P34:T34"/>
    <mergeCell ref="P42:T42"/>
  </mergeCells>
  <phoneticPr fontId="10" type="noConversion"/>
  <pageMargins left="0.75" right="0.75" top="1" bottom="1" header="0.5" footer="0.5"/>
  <pageSetup scale="62" orientation="portrait" horizontalDpi="4294967292" verticalDpi="4294967292"/>
  <colBreaks count="1" manualBreakCount="1">
    <brk id="1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Input Values</vt:lpstr>
      <vt:lpstr>Dosing Recommendations</vt:lpstr>
      <vt:lpstr>ICP Value Comparison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 Wood</dc:creator>
  <cp:keywords/>
  <dc:description/>
  <cp:lastModifiedBy>Marine Biogeochemist</cp:lastModifiedBy>
  <cp:lastPrinted>2022-03-17T18:20:23Z</cp:lastPrinted>
  <dcterms:created xsi:type="dcterms:W3CDTF">2021-09-04T21:38:30Z</dcterms:created>
  <dcterms:modified xsi:type="dcterms:W3CDTF">2023-03-16T20:29:13Z</dcterms:modified>
  <cp:category/>
</cp:coreProperties>
</file>